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19440" windowHeight="9435" firstSheet="1" activeTab="5"/>
  </bookViews>
  <sheets>
    <sheet name="peso aço e cálculo de entulho" sheetId="1" r:id="rId1"/>
    <sheet name="COTAÇÕES DE MERCADO" sheetId="2" r:id="rId2"/>
    <sheet name="MEMÓRIA DE QUANTIDADES" sheetId="3" r:id="rId3"/>
    <sheet name="MEMÓRIA" sheetId="4" r:id="rId4"/>
    <sheet name="EMOP" sheetId="5" r:id="rId5"/>
    <sheet name="SMPU COM BDI" sheetId="6" r:id="rId6"/>
    <sheet name="Cronograma " sheetId="7" r:id="rId7"/>
  </sheets>
  <externalReferences>
    <externalReference r:id="rId10"/>
    <externalReference r:id="rId11"/>
    <externalReference r:id="rId12"/>
  </externalReference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3_1">#REF!*#REF!</definedName>
    <definedName name="__shared_1_4_0">#REF!*#REF!</definedName>
    <definedName name="__shared_1_5_0">#REF!*#REF!</definedName>
    <definedName name="__shared_2_0_0">#REF!*#REF!</definedName>
    <definedName name="__shared_3_0_0">SUM(#REF!)</definedName>
    <definedName name="EXTRACT" localSheetId="6">'Cronograma '!#REF!</definedName>
    <definedName name="_xlnm.Print_Area" localSheetId="1">'COTAÇÕES DE MERCADO'!$A$1:$G$9</definedName>
    <definedName name="_xlnm.Print_Area" localSheetId="6">'Cronograma '!$A$1:$K$26</definedName>
    <definedName name="_xlnm.Print_Area" localSheetId="4">'EMOP'!$A$1:$G$96</definedName>
    <definedName name="_xlnm.Print_Area" localSheetId="3">'MEMÓRIA'!$A$1:$G$658</definedName>
    <definedName name="_xlnm.Print_Area" localSheetId="2">'MEMÓRIA DE QUANTIDADES'!$A$1:$F$345</definedName>
    <definedName name="_xlnm.Print_Area" localSheetId="5">'SMPU COM BDI'!$A$1:$I$96</definedName>
    <definedName name="BDI" localSheetId="1">#REF!</definedName>
    <definedName name="BDI" localSheetId="6">#REF!</definedName>
    <definedName name="BDI" localSheetId="4">#REF!</definedName>
    <definedName name="BDI" localSheetId="3">#REF!</definedName>
    <definedName name="BDI" localSheetId="2">#REF!</definedName>
    <definedName name="BDI" localSheetId="5">#REF!</definedName>
    <definedName name="BDI">#REF!</definedName>
    <definedName name="CRITERIA" localSheetId="6">'Cronograma '!#REF!</definedName>
    <definedName name="cronog">#REF!</definedName>
    <definedName name="MEM_A">#REF!</definedName>
    <definedName name="MEN_B">#REF!</definedName>
    <definedName name="OnerADO">#REF!</definedName>
    <definedName name="ORÇ_A">#REF!</definedName>
    <definedName name="ORÇ_B">#REF!</definedName>
    <definedName name="ORÇ_D">#REF!</definedName>
    <definedName name="orcb">#REF!</definedName>
    <definedName name="_xlnm.Print_Titles" localSheetId="1">'COTAÇÕES DE MERCADO'!$1:$2</definedName>
    <definedName name="_xlnm.Print_Titles" localSheetId="6">'Cronograma '!$10:$12</definedName>
    <definedName name="_xlnm.Print_Titles" localSheetId="4">'EMOP'!$1:$11</definedName>
    <definedName name="_xlnm.Print_Titles" localSheetId="3">'MEMÓRIA'!$9:$11</definedName>
    <definedName name="_xlnm.Print_Titles" localSheetId="2">'MEMÓRIA DE QUANTIDADES'!$1:$9</definedName>
    <definedName name="_xlnm.Print_Titles" localSheetId="5">'SMPU COM BDI'!$1:$11</definedName>
  </definedNames>
  <calcPr fullCalcOnLoad="1"/>
</workbook>
</file>

<file path=xl/sharedStrings.xml><?xml version="1.0" encoding="utf-8"?>
<sst xmlns="http://schemas.openxmlformats.org/spreadsheetml/2006/main" count="2918" uniqueCount="1040">
  <si>
    <t>UN</t>
  </si>
  <si>
    <t>ITEM</t>
  </si>
  <si>
    <t>DISCRIMINAÇÃO</t>
  </si>
  <si>
    <t>QUANT.</t>
  </si>
  <si>
    <t>UNIT</t>
  </si>
  <si>
    <t>TOTAL</t>
  </si>
  <si>
    <t>PREÇOS (R$)</t>
  </si>
  <si>
    <t>H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</si>
  <si>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</si>
  <si>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</si>
  <si>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</si>
  <si>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</si>
  <si>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</si>
  <si>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</si>
  <si>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</si>
  <si>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</si>
  <si>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1.0</t>
  </si>
  <si>
    <t>TOTAL DA OBRA POR MEDIÇÃO</t>
  </si>
  <si>
    <t>TOTAL ACUMULADO DA OBRA</t>
  </si>
  <si>
    <t>Desembolso parcial por medição %</t>
  </si>
  <si>
    <t>Desembolso máximo acumulado %</t>
  </si>
  <si>
    <t>1.1</t>
  </si>
  <si>
    <t>1.2</t>
  </si>
  <si>
    <t>1.3</t>
  </si>
  <si>
    <t>1.4</t>
  </si>
  <si>
    <t>1.5</t>
  </si>
  <si>
    <t>1.6</t>
  </si>
  <si>
    <t>2.0</t>
  </si>
  <si>
    <t>2.1</t>
  </si>
  <si>
    <t>2.4</t>
  </si>
  <si>
    <t>2.6</t>
  </si>
  <si>
    <t>1.7</t>
  </si>
  <si>
    <t>1.8</t>
  </si>
  <si>
    <t>1.9</t>
  </si>
  <si>
    <t>1.10</t>
  </si>
  <si>
    <t>TOTAL GERAL=</t>
  </si>
  <si>
    <t>TOTAL 2.0=</t>
  </si>
  <si>
    <t>TOTAL 1.0=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</si>
  <si>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</si>
  <si>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</si>
  <si>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</si>
  <si>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Orçamentista: Eng. Alfredo Antonio Nicolau M. Cunha</t>
  </si>
  <si>
    <t>M3</t>
  </si>
  <si>
    <t>20132</t>
  </si>
  <si>
    <t>MAO-DE-OBRA DE SERVENTE DA CONSTRUCAO CIVIL, INCLUSIVE ENCARGOS SOCIAIS DESONERADOS</t>
  </si>
  <si>
    <t>3.1</t>
  </si>
  <si>
    <t>20115</t>
  </si>
  <si>
    <t>M2</t>
  </si>
  <si>
    <t>20111</t>
  </si>
  <si>
    <t>03.001.0001-B</t>
  </si>
  <si>
    <t>T</t>
  </si>
  <si>
    <t>30246</t>
  </si>
  <si>
    <t>KG</t>
  </si>
  <si>
    <t>03.011.0015-B</t>
  </si>
  <si>
    <t>30693</t>
  </si>
  <si>
    <t>30694</t>
  </si>
  <si>
    <t>30423</t>
  </si>
  <si>
    <t>30425</t>
  </si>
  <si>
    <t>T X KM</t>
  </si>
  <si>
    <t>SERVIÇOS PRELIMINARES</t>
  </si>
  <si>
    <t>3.0</t>
  </si>
  <si>
    <t>3.3</t>
  </si>
  <si>
    <t>3.4</t>
  </si>
  <si>
    <t>TOTAL 3.0=</t>
  </si>
  <si>
    <t>M</t>
  </si>
  <si>
    <t>2.7</t>
  </si>
  <si>
    <t>00368</t>
  </si>
  <si>
    <t>00453</t>
  </si>
  <si>
    <t>4.0</t>
  </si>
  <si>
    <t>3.2</t>
  </si>
  <si>
    <t>4.1</t>
  </si>
  <si>
    <t>4.2</t>
  </si>
  <si>
    <t>4.3</t>
  </si>
  <si>
    <t>TOTAL 4.0=</t>
  </si>
  <si>
    <t>04.005.0123-B</t>
  </si>
  <si>
    <t>04.014.0118-A</t>
  </si>
  <si>
    <t>04.010.0045-A</t>
  </si>
  <si>
    <t>Carga e descarga mecanica de agregados,terra,escombros,material a granel,utilizando caminhao basculante a oleo diesel,co m capacidade util de 8t,considerando o tempo para carga,descarga e manobra,exclusive despesas com a pa-carregadeira empr egada na carga,com a capacidade de 1,50m3</t>
  </si>
  <si>
    <t>Transporte de carga de qualquer natureza,exclusive as despesas de carga e descarga,tanto de espera do caminhao como do s ervente ou equipamento auxiliar,a velocidade media de 30km/h,em caminhao basculante a oleo diesel,com capacidade util de 8t</t>
  </si>
  <si>
    <t>Descarga de materiais e residuos originarios da construcao civil(rcc),classe c (nao reutilizaveis),em locais de disposic ao final autorizados e/ou licenciados a operar pelos orgaosde controle ambiental</t>
  </si>
  <si>
    <t>Tarifa de vazamento de residuos originarios da construcao civil, classe c (resolucao 307 da conama)</t>
  </si>
  <si>
    <t>TRANSPORTE E BOTA-FORA</t>
  </si>
  <si>
    <r>
      <t>Secretaria Municipal de Planejamento Urbano</t>
    </r>
    <r>
      <rPr>
        <sz val="14"/>
        <color indexed="8"/>
        <rFont val="Arial"/>
        <family val="2"/>
      </rPr>
      <t xml:space="preserve"> </t>
    </r>
  </si>
  <si>
    <t>Carga e descarga mecanica de agregados,terra,escombros,material a granel,utilizando caminhao basculante a oleo diesel,com capacidade util de 8t,considerando o tempo para carga,descarga e manobra,exclusive despesas com a pa-carregadeira empregada na carga,com a capacidade de 1,50m3</t>
  </si>
  <si>
    <t>Descarga de materiais e residuos originarios da construcao civil(rcc),classe c (nao reutilizaveis),em locais de disposicão ao final autorizados e/ou licenciados a operar pelos orgaosde controle ambiental</t>
  </si>
  <si>
    <r>
      <t xml:space="preserve">PLANILHA ORÇAMENTARIA </t>
    </r>
    <r>
      <rPr>
        <b/>
        <sz val="14"/>
        <color indexed="10"/>
        <rFont val="Arial"/>
        <family val="2"/>
      </rPr>
      <t>SEM BDI</t>
    </r>
    <r>
      <rPr>
        <b/>
        <sz val="14"/>
        <color indexed="8"/>
        <rFont val="Arial"/>
        <family val="2"/>
      </rPr>
      <t xml:space="preserve"> NOS PREÇOS UNITÁRIOS</t>
    </r>
  </si>
  <si>
    <t>ORÇAMENTO: Engº Alfredo Antonio N M Cunha</t>
  </si>
  <si>
    <t>CODIGO EMOP/ SINAPI</t>
  </si>
  <si>
    <t xml:space="preserve">CRONOGRAMA  FÍSICO-FINANCEIRO </t>
  </si>
  <si>
    <t xml:space="preserve">MEMÓRIA DE CÁLCULO </t>
  </si>
  <si>
    <t>20045</t>
  </si>
  <si>
    <t>00159</t>
  </si>
  <si>
    <t>02.004.0001-A</t>
  </si>
  <si>
    <t>00252</t>
  </si>
  <si>
    <t>00510</t>
  </si>
  <si>
    <t>00600</t>
  </si>
  <si>
    <t>02315</t>
  </si>
  <si>
    <t>02316</t>
  </si>
  <si>
    <t>02317</t>
  </si>
  <si>
    <t>02472</t>
  </si>
  <si>
    <t>02884</t>
  </si>
  <si>
    <t>04915</t>
  </si>
  <si>
    <t>05914</t>
  </si>
  <si>
    <t>08000</t>
  </si>
  <si>
    <t>20060</t>
  </si>
  <si>
    <t>31011</t>
  </si>
  <si>
    <t>02.006.0050-A</t>
  </si>
  <si>
    <t>UNXMES</t>
  </si>
  <si>
    <t>13648</t>
  </si>
  <si>
    <t>UNXME</t>
  </si>
  <si>
    <t>02.015.0001-A</t>
  </si>
  <si>
    <t>00148</t>
  </si>
  <si>
    <t>00559</t>
  </si>
  <si>
    <t>00688</t>
  </si>
  <si>
    <t>00702</t>
  </si>
  <si>
    <t>00788</t>
  </si>
  <si>
    <t>00843</t>
  </si>
  <si>
    <t>00872</t>
  </si>
  <si>
    <t>20039</t>
  </si>
  <si>
    <t>30163</t>
  </si>
  <si>
    <t>30403</t>
  </si>
  <si>
    <t>02.016.0001-A</t>
  </si>
  <si>
    <t>00196</t>
  </si>
  <si>
    <t>00282</t>
  </si>
  <si>
    <t>02338</t>
  </si>
  <si>
    <t>02376</t>
  </si>
  <si>
    <t>02379</t>
  </si>
  <si>
    <t>02501</t>
  </si>
  <si>
    <t>02602</t>
  </si>
  <si>
    <t>04210</t>
  </si>
  <si>
    <t>04406</t>
  </si>
  <si>
    <t>05268</t>
  </si>
  <si>
    <t>1.11</t>
  </si>
  <si>
    <t>1.12</t>
  </si>
  <si>
    <t>1.13</t>
  </si>
  <si>
    <t>30164</t>
  </si>
  <si>
    <t>09.010.0001-A</t>
  </si>
  <si>
    <t>30263</t>
  </si>
  <si>
    <t>30270</t>
  </si>
  <si>
    <t>30282</t>
  </si>
  <si>
    <t>20005</t>
  </si>
  <si>
    <t>A</t>
  </si>
  <si>
    <t>B</t>
  </si>
  <si>
    <t>C</t>
  </si>
  <si>
    <t>INSTALAÇÕES ELÉTRICAS</t>
  </si>
  <si>
    <t>15.011.0084-A</t>
  </si>
  <si>
    <t>00115</t>
  </si>
  <si>
    <t>00289</t>
  </si>
  <si>
    <t>00456</t>
  </si>
  <si>
    <t>02341</t>
  </si>
  <si>
    <t>02344</t>
  </si>
  <si>
    <t>02639</t>
  </si>
  <si>
    <t>03887</t>
  </si>
  <si>
    <t>03968</t>
  </si>
  <si>
    <t>03970</t>
  </si>
  <si>
    <t>03977</t>
  </si>
  <si>
    <t>04268</t>
  </si>
  <si>
    <t>05994</t>
  </si>
  <si>
    <t>08026</t>
  </si>
  <si>
    <t>11922</t>
  </si>
  <si>
    <t>11924</t>
  </si>
  <si>
    <t>11925</t>
  </si>
  <si>
    <t>11930</t>
  </si>
  <si>
    <t>30060</t>
  </si>
  <si>
    <t>30313</t>
  </si>
  <si>
    <t>30344</t>
  </si>
  <si>
    <t>3.5</t>
  </si>
  <si>
    <t>18.260.0070-A</t>
  </si>
  <si>
    <t>07062</t>
  </si>
  <si>
    <t>3.6</t>
  </si>
  <si>
    <t>3.7</t>
  </si>
  <si>
    <t>15.018.0133-0</t>
  </si>
  <si>
    <t>11943</t>
  </si>
  <si>
    <t>15.007.0209-A</t>
  </si>
  <si>
    <t>11798</t>
  </si>
  <si>
    <t>D</t>
  </si>
  <si>
    <t>E</t>
  </si>
  <si>
    <t>PINTURA</t>
  </si>
  <si>
    <t>5.0</t>
  </si>
  <si>
    <t>5.1</t>
  </si>
  <si>
    <t>5.2</t>
  </si>
  <si>
    <t>TOTAL 5.0=</t>
  </si>
  <si>
    <t>20046</t>
  </si>
  <si>
    <t>00004</t>
  </si>
  <si>
    <t>00029</t>
  </si>
  <si>
    <t>00349</t>
  </si>
  <si>
    <t>30245</t>
  </si>
  <si>
    <t>30353</t>
  </si>
  <si>
    <t>12.005.0130-B</t>
  </si>
  <si>
    <t>00103</t>
  </si>
  <si>
    <t>30247</t>
  </si>
  <si>
    <t>Local: Distrito de Floriano, Barra Mansa</t>
  </si>
  <si>
    <t>PROJETO: Arqtª Valéria V M Camargo</t>
  </si>
  <si>
    <t>LEVANTAMENTO: Arqtª Valéria V M Camargo</t>
  </si>
  <si>
    <t>2.5</t>
  </si>
  <si>
    <t>20133</t>
  </si>
  <si>
    <t>MAO-DE-OBRA DE SERVENTE PARA SERVICOS DECONSERVACAO, INCLUSIVE ENCARGOS SOCIAISDESONERADOS</t>
  </si>
  <si>
    <t>SI000085335</t>
  </si>
  <si>
    <t>SI000088309</t>
  </si>
  <si>
    <t>PEDREIRO COM ENCARGOS COMPLEMENTARES</t>
  </si>
  <si>
    <t>SI000088316</t>
  </si>
  <si>
    <t>SERVENTE COM ENCARGOS COMPLEMENTARES</t>
  </si>
  <si>
    <t>05.001.0002-B</t>
  </si>
  <si>
    <t>m²</t>
  </si>
  <si>
    <t>03.010.0030-0</t>
  </si>
  <si>
    <t>SI000085180</t>
  </si>
  <si>
    <t>SI000092396</t>
  </si>
  <si>
    <t>SI000072183</t>
  </si>
  <si>
    <t>PISO EM CONCRETO 20MPA PREPARO MECANICO, ESPESSURA 7 CM, COM ARMACAO EM TELA SOLDADA</t>
  </si>
  <si>
    <t>07156</t>
  </si>
  <si>
    <t>TELA DE ACO SOLDADA NERVURADA, CA-60, Q-196, (3,11 KG/M2), DIAMETRO DO FIO = 5,0 MM, LARGURA =  2,45 M, ESPACAMENTO DA MALHA = 10 X 10 CM</t>
  </si>
  <si>
    <t>PRAÇAS E ENTORNO</t>
  </si>
  <si>
    <t>QUADRA POLIESPORTIVA</t>
  </si>
  <si>
    <t>SI74244/001</t>
  </si>
  <si>
    <t>SI000088315</t>
  </si>
  <si>
    <t>00333</t>
  </si>
  <si>
    <t>00335</t>
  </si>
  <si>
    <t>07696</t>
  </si>
  <si>
    <t>07158</t>
  </si>
  <si>
    <t>SI74244/001 - alterado</t>
  </si>
  <si>
    <t>20131</t>
  </si>
  <si>
    <t>21.003.0057-A</t>
  </si>
  <si>
    <t>11473</t>
  </si>
  <si>
    <t>21.001.0165-A</t>
  </si>
  <si>
    <t>un</t>
  </si>
  <si>
    <t>SI000041595</t>
  </si>
  <si>
    <t>SI74245/001</t>
  </si>
  <si>
    <t>4.4</t>
  </si>
  <si>
    <t>4.5</t>
  </si>
  <si>
    <t>4.6</t>
  </si>
  <si>
    <t>4.7</t>
  </si>
  <si>
    <t>4.8</t>
  </si>
  <si>
    <t>4.9</t>
  </si>
  <si>
    <t>6.0</t>
  </si>
  <si>
    <t>6.1</t>
  </si>
  <si>
    <t>6.2</t>
  </si>
  <si>
    <t>TOTAL 6.0=</t>
  </si>
  <si>
    <t>15.036.0070-A</t>
  </si>
  <si>
    <t>UM</t>
  </si>
  <si>
    <t>15.008.0085-A</t>
  </si>
  <si>
    <t>05707</t>
  </si>
  <si>
    <t>15.008.0090-A</t>
  </si>
  <si>
    <t>05708</t>
  </si>
  <si>
    <t>15.008.0100-A</t>
  </si>
  <si>
    <t>05710</t>
  </si>
  <si>
    <t>15.007.0570-A</t>
  </si>
  <si>
    <t>15.007.0575-A</t>
  </si>
  <si>
    <t>04326</t>
  </si>
  <si>
    <t>15.007.0600-A</t>
  </si>
  <si>
    <t>02440</t>
  </si>
  <si>
    <t>4.10</t>
  </si>
  <si>
    <t>15.007.0504-A</t>
  </si>
  <si>
    <t>02437</t>
  </si>
  <si>
    <t>4.11</t>
  </si>
  <si>
    <t>15.001.0026-A</t>
  </si>
  <si>
    <t>15.001.0026-5</t>
  </si>
  <si>
    <t>15.018.0140-A</t>
  </si>
  <si>
    <t>02705</t>
  </si>
  <si>
    <t>15.018.0145-A</t>
  </si>
  <si>
    <t>04304</t>
  </si>
  <si>
    <t>4.12</t>
  </si>
  <si>
    <t>4.13</t>
  </si>
  <si>
    <t>4.14</t>
  </si>
  <si>
    <t>30411</t>
  </si>
  <si>
    <t>30523</t>
  </si>
  <si>
    <t>4.15</t>
  </si>
  <si>
    <t>4.16</t>
  </si>
  <si>
    <t>4.17</t>
  </si>
  <si>
    <t>4.18</t>
  </si>
  <si>
    <t>4.19</t>
  </si>
  <si>
    <t>SI000094997</t>
  </si>
  <si>
    <t>03777</t>
  </si>
  <si>
    <t>04460</t>
  </si>
  <si>
    <t>04517</t>
  </si>
  <si>
    <t>SI000088262</t>
  </si>
  <si>
    <t>21.004.0095-A</t>
  </si>
  <si>
    <t>21.004.0140-A</t>
  </si>
  <si>
    <t>PARQUES E JARDINS</t>
  </si>
  <si>
    <t>7.0</t>
  </si>
  <si>
    <t>7.1</t>
  </si>
  <si>
    <t>7.2</t>
  </si>
  <si>
    <t>7.3</t>
  </si>
  <si>
    <t>TOTAL 7.0=</t>
  </si>
  <si>
    <t>30414</t>
  </si>
  <si>
    <t>30416</t>
  </si>
  <si>
    <t>90 DIAS</t>
  </si>
  <si>
    <t>120 DIAS</t>
  </si>
  <si>
    <t>09.012.0003-A</t>
  </si>
  <si>
    <t>00018</t>
  </si>
  <si>
    <t>00087</t>
  </si>
  <si>
    <t>06211</t>
  </si>
  <si>
    <t>20015</t>
  </si>
  <si>
    <t>30256</t>
  </si>
  <si>
    <t>30262</t>
  </si>
  <si>
    <t>30524</t>
  </si>
  <si>
    <t>7.4</t>
  </si>
  <si>
    <t>7.5</t>
  </si>
  <si>
    <t>04.006.0014-B</t>
  </si>
  <si>
    <t>04.005.0006-B</t>
  </si>
  <si>
    <t>3.8</t>
  </si>
  <si>
    <t>00017</t>
  </si>
  <si>
    <t>00019</t>
  </si>
  <si>
    <t>00021</t>
  </si>
  <si>
    <t>30283</t>
  </si>
  <si>
    <t>30730</t>
  </si>
  <si>
    <t>30731</t>
  </si>
  <si>
    <t>15.019.0050-A</t>
  </si>
  <si>
    <t>02370</t>
  </si>
  <si>
    <t>15.019.0025-A</t>
  </si>
  <si>
    <t>02368</t>
  </si>
  <si>
    <t>m³</t>
  </si>
  <si>
    <t>3.9</t>
  </si>
  <si>
    <t>3.10</t>
  </si>
  <si>
    <r>
      <t xml:space="preserve">Transporte de carga de qualquer natureza,exclusive as despesas de carga e descarga,tanto de espera do caminhao como do servente ou equipamento auxiliar,a velocidade media de 30km/h,em caminhao basculante a oleo diesel,com capacidade util de 8t . </t>
    </r>
    <r>
      <rPr>
        <b/>
        <sz val="14"/>
        <rFont val="Arial"/>
        <family val="2"/>
      </rPr>
      <t>Dmt=28,0km - CTR</t>
    </r>
  </si>
  <si>
    <t>01.005.0004-A</t>
  </si>
  <si>
    <t>03.009.0002-B</t>
  </si>
  <si>
    <t>1.14</t>
  </si>
  <si>
    <t>2.2</t>
  </si>
  <si>
    <t>2.3</t>
  </si>
  <si>
    <t>3.11</t>
  </si>
  <si>
    <t>02.001.0001-A</t>
  </si>
  <si>
    <t>02.020.0001-A</t>
  </si>
  <si>
    <t>00160</t>
  </si>
  <si>
    <t>00294</t>
  </si>
  <si>
    <t>GL</t>
  </si>
  <si>
    <t>20118</t>
  </si>
  <si>
    <t>Volume de cada banco =(2,25 x 0,45 x0,1)+(2 x 0,2 x 0,4 x0,45)=0,17325m³</t>
  </si>
  <si>
    <t>Placa de identificacao de obra publica,inclusive pintura e suportes de madeira.fornecimento e colocacao</t>
  </si>
  <si>
    <t xml:space="preserve">Tapume de vedacao ou protecao,executado c/chapas de madeira compensada,resinada,lisa,de colagem fenolica,a prova d`agua, com 2,20x1,10m e 6mm de espessura,pregadas em pecas de madeira de 3¦ de 3"x3" horizontais e verticais a cada 1,22m,exclu sive pintura 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</si>
  <si>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</si>
  <si>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Aluguel de banheiro quimico,portatil,medindo 2,31m altura x 1,56m largura e 1,16m profundidade,inclusive instalacao e re tirada do equipamento,fornecimento de quimica desodorizante,bactericida e bacteriostatica,papel higienico e veiculo prop rio com unidade movel de succao para limpeza</t>
  </si>
  <si>
    <t>Instalacao e ligacao provisoria para abastecimento de agua e esgotamento sanitario em canteiro de obras,inclusive escava cao,exclusive reposicao da pavimentacao do logradouro publico</t>
  </si>
  <si>
    <t>Instalacao e ligacao provisoria de alimentacao de energia eletrica,em baixa tensao,para canteiro de obras,m3-chave 100a, carga 3kw,20cv,exclusive o fornecimento do medidor</t>
  </si>
  <si>
    <t>Demolicao manual de concreto armado compreendendo pilares,vigas e lajes,em estrutura apresentando posicao especial,inclu sive empilhamento lateral dentro do canteiro de servico (arrancamento de bancos de concreto)</t>
  </si>
  <si>
    <t>Retirada de poste de aco,de 3,50 a 9,00m</t>
  </si>
  <si>
    <t>Retirada de luminaria em altura de 4,00 a 9,00m</t>
  </si>
  <si>
    <t>Compactacao de aterro,em camadas de 15cm,com maco</t>
  </si>
  <si>
    <t>Material de 1¦ categoria para aterros,compreendendo:escavacao,carga,transporte a 10km em caminhao basculante e descarga, considerando o volume necessario a execucao de 1,00m3 de material compactado</t>
  </si>
  <si>
    <t>Alambrado para quadra poliesportiva, estruturado por tubos de aco galvanizado, com costura, din 2440, diametro 2", com tela de arame galvanizado, fio 12 bwg e malha quadrada 5x5cm</t>
  </si>
  <si>
    <t>Cordoes de concreto simples,com secao de 10x25cm,moldados no local,inclusive escavacao e reaterro</t>
  </si>
  <si>
    <t>Execução de passeio em piso intertravado, com bloco retangular cor natural de 20 x 10 cm, espessura 6 cm. Af_12/2015</t>
  </si>
  <si>
    <t>Reaterro de vala/cava com material de boa qualidade,utilizando vibro compactador portatil,exclusive material  (cintamento do alambrado)</t>
  </si>
  <si>
    <t>Entrada de energia individual padrao light,medicao direta,rede subterranea,demanda entre 8,0 e 23,3kva,inclusive caixa s eccionadora(cs100)e caixa transparente para medicao(ctm),caixa de disjuntor polifasico(ctp)e caixa de disjuntor trifasic o(cdj3)e demais materiais necessarios,exclusive disjuntor efios de entrada e saida (obs.:3%-desgaste de ferramentas e epi).</t>
  </si>
  <si>
    <t>Eletroduto de pvc rigido rosqueavel de 3/4",inclusive conexoes e emendas,exclusive abertura e fechamento de rasgo.fornec imento e assentamento</t>
  </si>
  <si>
    <t xml:space="preserve">Cabo de cobre com isolamento termoplastico,compreendendo:preparo,corte e enfiacao em eletrodutos,na bitola de 2,5mm2,450 /750v.fornecimento e colocacao </t>
  </si>
  <si>
    <t xml:space="preserve">Cabo de cobre com isolamento termoplastico,compreendendo:preparo,corte e enfiacao em eletrodutos na bitola de 4mm2,450/7 50v.fornecimento e colocacao </t>
  </si>
  <si>
    <t xml:space="preserve">Cabo de cobre com isolamento termoplastico,compreendendo:preparo,corte e enfiacao em eletrodutos na bitola de 10mm2,450/ 750v.fornecimento e colocacao </t>
  </si>
  <si>
    <t xml:space="preserve">Quadro de distribuicao de energia para disjuntores termo-magneticos unipolares,de embutir,com porta e barramentos de fas e,neutro e terra,trifasico,para instalacao de ate 18 disjuntores com dispositivo para chave geral.fornecimento e colocacao. </t>
  </si>
  <si>
    <t xml:space="preserve">Disjuntor termomagnetico unipolar,de 10 a 30ax250v.fornecimento e colocacao </t>
  </si>
  <si>
    <t>Disjuntor termomagnetico,bipolar,de 10 a 50ax250v.fornecimento e colocacao.</t>
  </si>
  <si>
    <t>Disjuntor termomagnetico,tripolar,de 10 a 50ax250v.fornecimento e colocacao.</t>
  </si>
  <si>
    <t>Rele fotoeletrico,para comando de iluminacao externa,na tensao de 220v e carga maxima de 1.000w.fornecimento e colocacao</t>
  </si>
  <si>
    <t xml:space="preserve">Caixa de alvenaria em blocos de concreto de 10x20x40cm em paredes de 10cm,com dimensoes de 0,40x0,40x0,40m,assentada com a rgamassa de cimento e areia,no traco 1:4,concreto 20mpa,para preenchimento dos furos dos mesmos,revestida internamente com a mesma argamassa,com fundo de concreto e tampa de concreto armado </t>
  </si>
  <si>
    <t xml:space="preserve">Caixa de passagem n§2 para telefone,conforme especificacao da telebras,nas dimensoes de 20x20x13,5cm.fornecimento e colo cacao </t>
  </si>
  <si>
    <t>Caixa de passagem n§3,para telefone,conforme especificacao da telebras,nas dimensoes de 40x40x13,5cm.fornecimento e colo cacao</t>
  </si>
  <si>
    <t>Tomada eletrica 2p+t,10a/250v,padrao brasileiro,de embutir,com placa 4"x2".fornecimento e colocacao.</t>
  </si>
  <si>
    <t>Interruptor de embutir com 2 teclas simples fosforescentes e placa.fornecimento e colocacao (obs.:3%-desgaste de ferramentas e epi).</t>
  </si>
  <si>
    <t>Pintura</t>
  </si>
  <si>
    <t>Pintura acrilica de faixas de demarcacao em quadra poliesportiva, 5 cm de largura</t>
  </si>
  <si>
    <t>Plantio de grama esmeralda em rolo</t>
  </si>
  <si>
    <t>Transporte e bota-fora</t>
  </si>
  <si>
    <t>Carga e descarga manual de material que exija o concurso de mais de um servente para cada peca:vergalhoes,vigas de madei ra,caixas e meios-fios,em caminhao de carroceria fixa a oleodiesel,com capacidade util de 7,5t,inclusive o tempo de car ga,descarga e manobra</t>
  </si>
  <si>
    <t xml:space="preserve">Entrada de energia individual padrao light,medicao direta,rede subterranea,demanda entre 8,0 e 23,3kva,inclusive caixa s eccionadora(cs100)e caixa transparente para medicao(ctm),caixa de disjuntor polifasico(ctp)e caixa de disjuntor trifasic o(cdj3)e demais materiais necessarios,exclusive disjuntor efios de entrada e saida </t>
  </si>
  <si>
    <t xml:space="preserve">Caixa de aterramento,em pvc,25x25cm.fornecimento e colocacao </t>
  </si>
  <si>
    <t xml:space="preserve">Haste para aterramento,de cobre de 5/8"(16mm),com 2,40m de comprimento.fornecimento e colocacao </t>
  </si>
  <si>
    <t xml:space="preserve">Interruptor de embutir com 2 teclas simples fosforescentes e placa.fornecimento e colocacao </t>
  </si>
  <si>
    <t>Escavacao manual de vala/cava em material de 1¦ categoria (a(areia,argila ou picarra),ate 1,50m de profundidade,exclusiv e escoramento e esgotamento (obs.:3% - desgaste de ferramentas e epi).</t>
  </si>
  <si>
    <t>Reaterro de vala/cava com material de boa qualidade,utilizando vibro compactador portatil,exclusive material</t>
  </si>
  <si>
    <t>Poste de aco,reto,conico continuo,altura de 9,00m,com sapata.fornecimento</t>
  </si>
  <si>
    <t>Assentamento de poste reto,de aco de 7,00 ate 9,00m,com flange de aco soldado na sua base,fixado por parafusos chumbador res engastados em fundacao de concreto,exclusive fundacao efornecimento do poste</t>
  </si>
  <si>
    <t>Caixa de alvenaria em tijolos macicos(7x10x20cm),em paredes de meia vez,com dimensoes de 0,40x0,40x0,40m,assentada com a rgamassa de cimento e areia,no traco 1:4,revestida internamente com a mesma argamassa,com fundo de concreto e tampa de c oncreto armado (obs.:3%-desgaste de ferramentas e epi).</t>
  </si>
  <si>
    <t>12.005.0130-b alvenaria p/ cx.enterrada, 0,80m</t>
  </si>
  <si>
    <t>Caixa de passagem n§2 para telefone,conforme especificacao da telebras,nas dimensoes de 20x20x13,5cm.fornecimento e colo cacao (obs.:3%-desgaste de ferramentas e epi).</t>
  </si>
  <si>
    <t>Tomada eletrica 2p+t,10a/250v,padrao brasileiro,de embutir,com placa 4"x2".fornecimento e colocacao. (obs.:3%-desgaste de ferramentas e epi).</t>
  </si>
  <si>
    <t>Transporte de carga de qualquer natureza,exclusive as despesas de carga e descarga,tanto de espera do caminhao como do s ervente ou equipamento auxiliar,a velocidade media de 30km/h,em caminhao de carroceria fixa a oleo diesel,com capacidade util de 7,5t</t>
  </si>
  <si>
    <t>Preparo manual de terreno,compreendendo acerto,raspagem eventual ate 0.30m de profundidade e afastamento lateral do mate rial excedente,inclusive compactacao manual</t>
  </si>
  <si>
    <t>Entrada de energia individual padrao light,medicao direta,rede subterranea,demanda entre 8,0 e 23,3kva,inclusive caixa s eccionadora(cs100)e caixa transparente para medicao(ctm),caixa de disjuntor polifasico(ctp)e caixa de disjuntor trifasic o(cdj3)e demais materiais necessarios,exclusive disjuntor e fios de entrada e saida.</t>
  </si>
  <si>
    <t xml:space="preserve">Haste para aterramento,de cobre de 5/8"(16mm),com 2,40m de comprimento.fornecimento e colocacao. </t>
  </si>
  <si>
    <r>
      <t xml:space="preserve">Transporte de carga de qualquer natureza,exclusive as despesas de carga e descarga,tanto de espera do caminhao como do servente ou equipamento auxiliar,a velocidade media de 30km/h,em caminhao basculante a oleo diesel,com capacidade util de 8t . </t>
    </r>
    <r>
      <rPr>
        <b/>
        <sz val="12"/>
        <rFont val="Arial"/>
        <family val="2"/>
      </rPr>
      <t>Dmt=28,0km - CTR</t>
    </r>
  </si>
  <si>
    <t>13.333.0015-A</t>
  </si>
  <si>
    <t>13.333.0010-A</t>
  </si>
  <si>
    <t>00150</t>
  </si>
  <si>
    <t>CIMENTO BRANCO</t>
  </si>
  <si>
    <t>05350</t>
  </si>
  <si>
    <t>OXIDO DE FERRO</t>
  </si>
  <si>
    <t>11227</t>
  </si>
  <si>
    <t>20087</t>
  </si>
  <si>
    <t>MAO-DE-OBRA DE LADRILHEIRO, INCLUSIVE ENCARGOS SOCIAIS DESONERADOS</t>
  </si>
  <si>
    <t>30129</t>
  </si>
  <si>
    <t>07.001.0010-B PASTA DE CIMENTO COMUM</t>
  </si>
  <si>
    <t>30153</t>
  </si>
  <si>
    <t>07.001.0130-B ARGAMASSA CIM.,SAIBRO,AREIA 1:3:3,PREPARO MANUAL</t>
  </si>
  <si>
    <t>11228</t>
  </si>
  <si>
    <t>Revestimento de piso com ceramica tatil alerta,25x25cm(ladrilho hidraulico) para pessoas com necessidades especificas, assentes sobre superficie em osso,conforme item 13.330.0010</t>
  </si>
  <si>
    <t>Revestimento de piso com ceramica tatil direcional,25x25cm(ladrilho hidraulico),para pessoas com necessidades especifica s,assentes sobre superficie em osso,conforme item 13.330.0010</t>
  </si>
  <si>
    <t>Piso em concreto 20mpa preparo mecanico, espessura 7 cm, com armacao em tela soldada (RAMPAS)</t>
  </si>
  <si>
    <t>09.005.0009-A</t>
  </si>
  <si>
    <t>Retirada de grama em placas (ajuste dos canteiros)</t>
  </si>
  <si>
    <t>SI000094970</t>
  </si>
  <si>
    <t>SI000094970 CONCRETO FCK = 20MPA, TRAÇO 1:2,7:3 (CIMENTO/ AREIA MÉDIA/ BRITA 1)  - PREPARO MECÂNICO COM BETONEIRA 600 L. AF_07/2016</t>
  </si>
  <si>
    <t>EXECUÇÃO DE PASSEIO EM PISO INTERTRAVADO, COM BLOCO RETANGULAR COR NATURAL DE 20 X 10 CM, ESPESSURA 6 CM. AF_12/2015</t>
  </si>
  <si>
    <t>08.027.0042-A</t>
  </si>
  <si>
    <t>RETIRADA DE MEIO FIO C/ EMPILHAMENTO E S/ REMOCAO</t>
  </si>
  <si>
    <t>PINTURA ACRILICA DE FAIXAS DE DEMARCACAO EM QUADRA POLIESPORTIVA, 5 CM DE LARGURA</t>
  </si>
  <si>
    <t>PINTURA ACRILICA EM PISO CIMENTADO DUAS DEMAOS</t>
  </si>
  <si>
    <t>18.200.0001-A</t>
  </si>
  <si>
    <t>PAR</t>
  </si>
  <si>
    <t>05328</t>
  </si>
  <si>
    <t>TABELAS DE BASQUETE, EM COMPENSADO NAVALLAMINADO, COM AROS E REDES - (PAR)</t>
  </si>
  <si>
    <t>MAO-DE-OBRA DE CARPINTEIRO DE ESQUADRIASDE MADEIRA, INCLUSIVE ENCARGOS SOCIAISDESONERADOS</t>
  </si>
  <si>
    <t>18.200.0004-A</t>
  </si>
  <si>
    <t>TRAVE DESMONTAVEL PARA FUTEBOL DE SALAO,EM TUBO DE FERRO GALVANIZADO E BUCHAS.FORNECIMENTO</t>
  </si>
  <si>
    <t>05331</t>
  </si>
  <si>
    <t>POSTES P/FUTEBOL DE SALAO, EM TUBOS DE FRRO GALVANIZADO E BUCHAS - (PAR)</t>
  </si>
  <si>
    <t>18.200.0005-A</t>
  </si>
  <si>
    <t>REDE DE NYLON PARA FUTEBOL DE SALAO.FORNECIMENTO</t>
  </si>
  <si>
    <t>05332</t>
  </si>
  <si>
    <t>REDE DE NYLON, P/FUTEBOL DE SALAO- (PAR)</t>
  </si>
  <si>
    <t>18.200.0004-A  + 18.200.0005-A</t>
  </si>
  <si>
    <t>Fornecimento e instalação de trave desmontável para futebol de salão, em tubo de ferro galvanizado e buchas, inclusive rede de nylon.</t>
  </si>
  <si>
    <t>par</t>
  </si>
  <si>
    <t>Fornecimento e colocação de tabela de basquete em compensado naval, tamanho oficial, com aro e rede.</t>
  </si>
  <si>
    <t>00014</t>
  </si>
  <si>
    <t>ACO CA-60, ESTIRADO, PRECO DE REVENDEDOR, NO DIAMETRO DE 05,0MM</t>
  </si>
  <si>
    <t>MAT091570</t>
  </si>
  <si>
    <t>SCO IP 50.20.0228</t>
  </si>
  <si>
    <t>Nucleo triplo para luminarias em aco de baixo teor de carbono SAE 1010/1020 galvanizado a fusao, interna e externamente por imersao unica em banho de zinco, conforme NBR-7398 e 7400 da ABNT, nucleo diametro interno de 128mm, bracos com diametro externo de 60,3mm, comprimento de 368mm, conforme desenho A2-1621-PD e especificacao EM-RIOLUZ no 40. Fornecimento e colocação</t>
  </si>
  <si>
    <t xml:space="preserve">MOD000200 </t>
  </si>
  <si>
    <t>Nucleo triplo para luminarias em aco de baixo teor de carbono SAE 1010/1020, nucleo diametro interno</t>
  </si>
  <si>
    <t>Ajudante de montador eletromecanico</t>
  </si>
  <si>
    <t>pc</t>
  </si>
  <si>
    <t>h</t>
  </si>
  <si>
    <t>21.001.0160-A</t>
  </si>
  <si>
    <t>ASSENTAMENTO DE POSTE RETO,DE ACO DE 3,50 ATE 6,00M,COM FLANGE DE ACO SOLDADO NA SUA BASE,FIXADO POR PARAFUSOS CHUMBADOR ES ENGASTADOS EM FUNDACAO DE CONCRETO,EXCLUSIVE FUNDACAO EFORNECIMENTO DO POSTE</t>
  </si>
  <si>
    <t>MAO-DE-OBRA DE AJUDANTE DE MONTADOR ELETROMECANICO (ILUMINACAO PUBLICA), INCLUSIVE ENCARGOS SOCIAIS DESONERADOS</t>
  </si>
  <si>
    <t>21.003.0080-A</t>
  </si>
  <si>
    <t>POSTE DE ACO,RETO,CONICO CONTINUO OU ESCALONADO,ALTURA DE 6,00M,SEM SAPATA.FORNECIMENTO</t>
  </si>
  <si>
    <t>11464</t>
  </si>
  <si>
    <t>POSTE DE ACO RETO, CONICO CONTINUO, COM6M, SEM SAPATA</t>
  </si>
  <si>
    <t>5.3</t>
  </si>
  <si>
    <t>17.017.0350-A</t>
  </si>
  <si>
    <t>00124</t>
  </si>
  <si>
    <t>ESMALTE SINTETICO ALQUIDICO ALTO BRILHO,BRILHANTE, ACETINADO OU FOSCO</t>
  </si>
  <si>
    <t>00840</t>
  </si>
  <si>
    <t>DETERGENTE NEUTRO P/LIMPEZA INDUSTRIAL,EM SACO DE 25KG</t>
  </si>
  <si>
    <t>07425</t>
  </si>
  <si>
    <t>PRIMER EPOXI,ISOCIANATO DE 2 COMPONENTES</t>
  </si>
  <si>
    <t>MAO-DE-OBRA DE PINTOR, INCLUSIVE ENCARGOS SOCIAIS DESONERADOS</t>
  </si>
  <si>
    <t>Pintura interna ou externa sobre ferro galvanizado ou aluminio,usando fundo para galvanizado,inclusive lixamento leve,limpeza,desengorduramento e duas demaos de acabamento com esmalte sintetico brilhante ou acetinado. ( TUBOS DO ALAMBRADO)</t>
  </si>
  <si>
    <t>Pintura acrilica em piso cimentado duas demaos (piso da quadra e bancos existentes das praças)</t>
  </si>
  <si>
    <t>11.090.0610-A</t>
  </si>
  <si>
    <t>00001</t>
  </si>
  <si>
    <t>AREIA LAVADA, GROSSA, PARA REGIAO METROPOLITANA DO RIO DE JANEIRO</t>
  </si>
  <si>
    <t>00149</t>
  </si>
  <si>
    <t>05977</t>
  </si>
  <si>
    <t>EMULSAO ACRILICA ESTIRENADA</t>
  </si>
  <si>
    <t>13418</t>
  </si>
  <si>
    <t>ADITIVO A BASE DE SILICA ATIVA, DOSE SOBRE O PESO DE CIMENTO, NA PROPORCAO MEDIADE 10%</t>
  </si>
  <si>
    <t>MAO-DE-OBRA DE PEDREIRO, INCLUSIVE ENCARGOS SOCIAIS DESONERADOS</t>
  </si>
  <si>
    <t>Recomposicao de capeamento de concreto e pequenas espessuras em servicos de recuperacao estrutural,com argamassa de cimento e areia no traco 1:3 aditivada com resina acrilica na proporcao 50ml/m3 de argamassa e silica ativa na proporcao de 5% a 10% de cimento (BANCOS DE CONCRETO EXISTENTES CONSIDERANDO ESPESSURA DE 2CM DE CAPEAMENTO)</t>
  </si>
  <si>
    <t>6.3</t>
  </si>
  <si>
    <t>ARAME RECOZIDO N§ 18</t>
  </si>
  <si>
    <t>ACO CA-50, ESTIRADO, PRECO DE REVENDEDOR, NO DIAMETRO DE 10,0MM</t>
  </si>
  <si>
    <t>ACO CA-50, ESTIRADO, PRECO DE REVENDEDOR, NO DIAMETRO DE 12,5MM</t>
  </si>
  <si>
    <t>ACO CA-50, ESTIRADO, PRECO DE REVENDEDOR, NO DIAMETRO DE 16,0MM</t>
  </si>
  <si>
    <t>ACO CA-50, ESTIRADO, PRECO DE REVENDEDOR, NO DIAMETRO, DE 25,0MM</t>
  </si>
  <si>
    <t>MAO-DE-OBRA DE ARMADOR DE CONCRETO ARMADO, INCLUSIVE ENCARGOS SOCIAIS DESONERADOS</t>
  </si>
  <si>
    <t>MAO-DE-OBRA DE CARPINTEIRO DE FORMA DE CONCRETO, INCLUSIVE ENCARGOS SOCIAIS DESONERADOS</t>
  </si>
  <si>
    <t>11.004.0022-B FORMAS MADEIRA PARAM. PLANOS; 1,4 VEZES</t>
  </si>
  <si>
    <t>19.007.0013-C VIBRADOR IMERSAO ELETR. 2CV (CP)</t>
  </si>
  <si>
    <t>19.007.0013-E VIBRADOR IMERSAO ELETR. 2CV (CI)</t>
  </si>
  <si>
    <t>01.001.0078-A</t>
  </si>
  <si>
    <t>PERFURACAO MANUAL DE SOLO,A TRADO ACIMA DE 10" (OBS.:3% - DESGASTE DE FERRAMENTAS E EPI).</t>
  </si>
  <si>
    <t>30254</t>
  </si>
  <si>
    <t>11.002.0013-B PREPARO CONCR. BETON. 320L; 2,0M3/H</t>
  </si>
  <si>
    <t>30260</t>
  </si>
  <si>
    <t>11.002.0023-B LANCAMENTO CONC.C/ARM.2,0M3/H,HORIZ/VERT</t>
  </si>
  <si>
    <t>11.009.0014-B</t>
  </si>
  <si>
    <t>BARRA DE ACO CA-50,COM SALIENCIA OU MOSSA,COEFICIENTE DE CONFORMACAO SUPERFICIAL MINIMO (ADERENCIA) IGUAL A 1,5,DIAMETRO DE 8 A 12,5MM,DESTINADA A ARMADURA DE CONCRETO ARMADO,10%DE PERDAS DE PONTAS E ARAME 18.FORNECIMENTO</t>
  </si>
  <si>
    <t>06212</t>
  </si>
  <si>
    <t>ACO CA-50, ESTIRADO, PRECO DE FABRICA, NO DIAMETRO DE 08,0MM</t>
  </si>
  <si>
    <t>06213</t>
  </si>
  <si>
    <t>ACO CA-50, ESTIRADO, PRECO DE FABRICA, NO DIAMETRO DE 10,0MM</t>
  </si>
  <si>
    <t>06214</t>
  </si>
  <si>
    <t>ACO CA-50, ESTIRADO, PRECO DE FABRICA, NO DIAMETRO DE 12,5MM</t>
  </si>
  <si>
    <t>11.011.0030-B</t>
  </si>
  <si>
    <t>CORTE,DOBRAGEM,MONTAGEM E COLOCACAO DE FERRAGENS NAS FORMAS,ACO CA-50,EM BARRAS REDONDAS,COM DIAMETRO DE 8 A 12,5MM (OBS.:3%-DESGASTE DE FERRAMENTAS E EPI).</t>
  </si>
  <si>
    <t>F</t>
  </si>
  <si>
    <t>TODOS OS SUB-ITENS DO ITEM 2.0 BEM COM O SUB-ITEM 6.3 DO ITEM 6.0 SERÃO CONTEMPLADOS COMO CONTRAPARTIDA ADICIONAL.</t>
  </si>
  <si>
    <r>
      <t>Recomposicao de capeamento de concreto e pequenas espessuras em servicos de recuperacao estrutural,com argamassa de cimento e areia no traco 1:3 aditivada com resina acrilica na proporcao 50ml/m3 de argamassa e silica ativa na proporcao de 5% a 10% de cimento (BANCOS DE CONCRETO EXISTENTES CONSIDERANDO ESPESSURA DE 2CM DE CAPEAMENTO)</t>
    </r>
    <r>
      <rPr>
        <sz val="12"/>
        <color indexed="10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(CONTRAPARTIDA ADICIONAL)</t>
    </r>
  </si>
  <si>
    <r>
      <t xml:space="preserve">PRAÇAS E ENTORNO </t>
    </r>
    <r>
      <rPr>
        <b/>
        <sz val="12"/>
        <color indexed="10"/>
        <rFont val="Arial"/>
        <family val="2"/>
      </rPr>
      <t>(será  todo pago pela contrapartida adicional)</t>
    </r>
  </si>
  <si>
    <r>
      <t xml:space="preserve">Recomposicao de capeamento de concreto e pequenas espessuras em servicos de recuperacao estrutural,com argamassa de cimento e areia no traco 1:3 aditivada com resina acrilica na proporcao 50ml/m3 de argamassa e silica ativa na proporcao de 5% a 10% de cimento (BANCOS DE CONCRETO EXISTENTES CONSIDERANDO ESPESSURA DE 2CM DE CAPEAMENTO) </t>
    </r>
    <r>
      <rPr>
        <sz val="12"/>
        <color indexed="10"/>
        <rFont val="Arial"/>
        <family val="2"/>
      </rPr>
      <t>-</t>
    </r>
    <r>
      <rPr>
        <b/>
        <sz val="12"/>
        <color indexed="10"/>
        <rFont val="Arial"/>
        <family val="2"/>
      </rPr>
      <t xml:space="preserve"> (CONTRAPARTIDA ADICIONAL)</t>
    </r>
  </si>
  <si>
    <r>
      <t>PRAÇAS E ENTORNO</t>
    </r>
    <r>
      <rPr>
        <b/>
        <sz val="12"/>
        <color indexed="10"/>
        <rFont val="Arial"/>
        <family val="2"/>
      </rPr>
      <t xml:space="preserve"> (será  todo pago pela contrapartida adicional)</t>
    </r>
  </si>
  <si>
    <t>OBS.: TODOS OS SUB-ITENS DO ITEM 2.0 BEM COM O SUB-ITEM 6.3 DO ITEM 6.0 SERÃO CONTEMPLADOS COMO CONTRAPARTIDA ADICIONAL.</t>
  </si>
  <si>
    <t>PREGO COM OU SEM CABECA, EM CAIXAS DE 50KG, OU QUANTIDADES EQUIVALENTES, N§12X12A 18X30</t>
  </si>
  <si>
    <t>TINTA A OLEO BRILHANTE, P/USO GERAL, EMINTERIORES E EXTERIORES</t>
  </si>
  <si>
    <t>CHAPA DE ACO CARBONO, GALVANIZADA, PARAUSOS GERAIS, TAMANHO PADRAO, PRECO DE REVENDEDOR, COM ESPESSURA DE 0,5MM</t>
  </si>
  <si>
    <t>19.004.0001-C CAMINHAO CARROC. FIXA, 3,5T (CP)</t>
  </si>
  <si>
    <t>CHAPA DE MADEIRA COMPENSADA, RESINADA, COM ESPESSURA DE 06MM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</si>
  <si>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</si>
  <si>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FECHADURA DE SOBREPOR, TIPO CAIXAO, RETANGULAR, ACABAMENTO FERRO RESINADO PRETO,DE (100X86X38)MM</t>
  </si>
  <si>
    <t>RECEPTACULO DE PORCELANA P/LAMPADA INCANDESCENTE, BASE E-27</t>
  </si>
  <si>
    <t>VIDRO PLANO TRANSPARENTE, COMUM, COM ESPESSURA DE 3MM</t>
  </si>
  <si>
    <t>DISJUNTOR MONOFASICO DE 250V, DE 010 A 030A</t>
  </si>
  <si>
    <t>CORDAO PARALELO COM ISOLAMENTO TERMOPLASTICO, ATE 750V, DE 2X2,5MM2</t>
  </si>
  <si>
    <t>PARAFUSO C/ROSCA, DE (8x100)MM</t>
  </si>
  <si>
    <t>INTERRUPTOR DE SOBREPOR SIMPLES, DE 10A-250V</t>
  </si>
  <si>
    <t>TELHA ONDULADA DE CIMENTO, SEM AMIANTO,REFORCADA C/FIOS SINTETICOS (CRFS), DE (2,44X1,10)M E C/ESPES. DE 6MM</t>
  </si>
  <si>
    <t>FITA ISOLANTE, ROLO DE 19MMX20M</t>
  </si>
  <si>
    <t>MAO-DE-OBRA DE ELETRICISTA DA CONSTRUCAOCIVIL, INCLUSIVE ENCARGOS SOCIAIS DESONERADOS</t>
  </si>
  <si>
    <t>ALUGUEL DE BANHEIRO QUIMICO,PORTATIL,MEDINDO 2,31M ALTURA X 1,56M LARGURA E 1,16M PROFUNDIDADE,INCLUSIVE INSTALACAO E RE TIRADA DO EQUIPAMENTO,FORNECIMENTO DE QUIMICA DESODORIZANTE,BACTERICIDA E BACTERIOSTATICA,PAPEL HIGIENICO E VEICULO PROP RIO COM UNIDADE MOVEL DE SUCCAO PARA LIMPEZA</t>
  </si>
  <si>
    <t>ALUGUEL DE BANHEIRO QUIM., PORT.,2,31X1,56X1,16M, INCL.INST., RETIRADA FORN.QUIMICA DESOD.BACT.PAPEL HIG.UN.MOV.SUCCAO</t>
  </si>
  <si>
    <t>CURVA 45§ OU 90§ DE CERAMICA PARA ESGOTOCOM JUNTA ARGAMASSA, DE 0100MM</t>
  </si>
  <si>
    <t>TIJOLO CERAMICO, FURADO, DE (10X20X20)CM</t>
  </si>
  <si>
    <t>TUBO CERAMICO, ESGOTO SANITARIO, DE 100MM E COM COMPRIMENTO DE 1,00M</t>
  </si>
  <si>
    <t>CAIXA D'AGUA DE FIBRA DE VIDRO OU POLIETILENO, COM CAPACIDADE DE 1000 LITROS</t>
  </si>
  <si>
    <t>MAO-DE-OBRA DE BOMBEIRO HIDRAULICO DA CONSTRUCAO CIVIL, INCLUSIVE ENCARGOS SOCIAIS DESONERADOS</t>
  </si>
  <si>
    <t>07.002.0025-B ARGAMASSA CIM.,AREIA TRACO 1:3,PREPAROMECANICO</t>
  </si>
  <si>
    <t>15.071.0012-B LIGACAO AGUAS PLUVIAIS OU DOMICILIARES</t>
  </si>
  <si>
    <t>ISOLADOR TIPO CARRETILHA, MARROM, DE (72X72)MM</t>
  </si>
  <si>
    <t>FUSIVEL FACA, DE 250V, DE 100A</t>
  </si>
  <si>
    <t>CABO COM ISOLAMENTO TERMOPLASTICO, DE 0750V, DE 016MM2</t>
  </si>
  <si>
    <t>PREPARO MANUAL DE TERRENO,COMPREENDENDO ACERTO,RASPAGEM EVENTUAL ATE 0.30M DE PROFUNDIDADE E AFASTAMENTO LATERAL DO MATE RIAL EXCEDENTE,INCLUSIVE COMPACTACAO MANUAL (OBS.:3% - DESGASTE DE FERRAMENTAS E EPI).</t>
  </si>
  <si>
    <t>DEMOLICAO MANUAL DE CONCRETO ARMADO COMPREENDENDO PILARES,VIGAS E LAJES,EM ESTRUTURA APRESENTANDO POSICAO ESPECIAL,INCLU SIVE EMPILHAMENTO LATERAL DENTRO DO CANTEIRO DE SERVICO (OBS.:3%- DESGASTE DE FERRAMENTAS E EPI).</t>
  </si>
  <si>
    <t>03.010.0030-A</t>
  </si>
  <si>
    <t>30595</t>
  </si>
  <si>
    <t>19.005.0030-C PA CARREGADEIRA,MOTOR DIESEL 100CV,CAPACIDADE RASA 1,3M3 (CP)</t>
  </si>
  <si>
    <t>30576</t>
  </si>
  <si>
    <t>19.005.0019-E TRATOR ESTEIRAS C/LAMINA 2330KG (CI)</t>
  </si>
  <si>
    <t>30574</t>
  </si>
  <si>
    <t>19.005.0019-C TRATOR ESTEIRAS C/LAMINA 2330KG (CP)</t>
  </si>
  <si>
    <t>30429</t>
  </si>
  <si>
    <t>19.004.0014-C CAMINHAO BASCUL. NO TOCO 8 A 10M3 (CP)</t>
  </si>
  <si>
    <t>07.002.0030-B ARGAMASSA CIM.,AREIA TRACO 1:4,PREPAROMECANICO</t>
  </si>
  <si>
    <t>11.001.0005-B CONCRETO FCK 15MPA</t>
  </si>
  <si>
    <t>11.004.0021-B FORMAS MADEIRA PARAM. PLANOS, 2 VEZES</t>
  </si>
  <si>
    <t>11.002.0035-B LANCAMENTO CONC.S/ARM.2,0M3/H, HORIZ.</t>
  </si>
  <si>
    <t>11.002.0027-B LANCAMENTO CONC.S/ARM.7,0M3/H,HORIZ/VERT</t>
  </si>
  <si>
    <t>REVESTIMENTO DE PISO COM CERAMICA TATIL ALERTA,(LADRILHO HIDRAULICO) PARA PESSOAS COM NECESSIDADES ESPECIFICAS,ASSENTES SOBRE SUPERFICIE EM OSSO,CONFORME ITEM 13.330.0010 (OBS.:3%-DESGASTE DE FERRAMENTAS E EPI).</t>
  </si>
  <si>
    <t>PISO CERAMICO TATIL ALERTA, AMARELO, PARA PORTADORES DE NECESSIDADES ESPECIFICAS</t>
  </si>
  <si>
    <t>REVESTIMENTO DE PISO COM CERAMICA TATIL DIRECIONAL,(LADRILHO HIDRAULICO),PARA PESSOAS COM NECESSIDADES ESPECIFICAS,ASSEN TES SOBRE SUPERFICIE EM OSSO,CONFORME ITEM 13.330.0010 (OBS.:3%-DESGASTE DE FERRAMENTAS E EPI).</t>
  </si>
  <si>
    <t>PISO CERAMICO TATIL DIRECIONAL, AMARELO,PARA PORTADORES DE NECESSIDADES ESPECIFICAS</t>
  </si>
  <si>
    <t>CIMENTO PORTLAND EM SACO DE 50KG</t>
  </si>
  <si>
    <t>MAO-DE-OBRA DE OPERADOR DE MAQUINA (TRATOR, ETC.), INCLUSIVE ENCARGOS SOCIAIS DESONERADOS</t>
  </si>
  <si>
    <t>19.006.0030-C SOQUETE VIBRATORIO 78KG; 2,5CV (CP)</t>
  </si>
  <si>
    <t>19.006.0030-E SOQUETE VIBRATORIO 78KG; 2,5CV (CI)</t>
  </si>
  <si>
    <t>ALAMBRADO PARA QUADRA POLIESPORTIVA, ESTRUTURADO POR TUBOS DE ACO GALVANIZADO, COM COSTURA, DIN 2440, DIAMETRO 2", COM TELA DE ARAME GALVANIZADO, FIO 14 BWG E MALHA QUADRADA 5X5CM</t>
  </si>
  <si>
    <t>TUBO ACO GALVANIZADO COM COSTURA, CLASSE MEDIA, DN 2", E = *3,65* MM, PESO *5,10* KG/M (NBR 5580)</t>
  </si>
  <si>
    <t>ARAME GALVANIZADO 10 BWG, 3,40 MM (0,0713 KG/M)</t>
  </si>
  <si>
    <t>ARAME GALVANIZADO 14 BWG, D = 2,11 MM (0,026 KG/M)</t>
  </si>
  <si>
    <t>SERRALHEIRO COM ENCARGOS COMPLEMENTARES</t>
  </si>
  <si>
    <t>TELA DE ARAME GALV QUADRANGULAR / LOSANGULAR,  FIO 2,77 MM (12 BWG), MALHA  5 X 5 CM, H = 2 M</t>
  </si>
  <si>
    <t>MAO-DE-OBRA DE SERRALHEIRO DA CONSTRUCAOCIVIL, INCLUSIVE ENCARGOS SOCIAIS DESONERADOS</t>
  </si>
  <si>
    <t>EXECUÇÃO DE PASSEIO (CALÇADA) OU PISO DE CONCRETO COM CONCRETO MOLDADO IN LOCO, USINADO, ACABAMENTO CONVENCIONAL, ESPESSURA 10 CM, ARMADO. AF_07/2016</t>
  </si>
  <si>
    <t>CABO SOLIDO DE COBRE ELETROLITICO NU, TEMPERA MOLE, CLASSE 2, SECAO CIRCULAR DE10,0 A 500,0MM2</t>
  </si>
  <si>
    <t>POSTE DE CONCRETO, C/SECAO CIRCULAR, C/07,00M DE COMPR., PADRAO ABNT, EXCLUSIVETRANSP., C/CARGA NOM.HORIZ.TOPO 100KGF</t>
  </si>
  <si>
    <t>ARMACAO SECUNDARIA, COMPLETA, PARA 4 LINHAS</t>
  </si>
  <si>
    <t>HASTE TERRA, TIPO CANTONEIRA GALVANIZADA, DE 2,00M</t>
  </si>
  <si>
    <t>CONECTOR PARAFUSO FENDIDO, TIPO SPLIT BOLT, FABRICADO EM COBRE, PARA CABO DE 120MM2</t>
  </si>
  <si>
    <t>CAIXA TRANSPARENTE PARA MEDICAO DIRETA(CTM), PARA ENTRADA DE ENERGIA INDIVIDUAL, PADRAO LIGHT</t>
  </si>
  <si>
    <t>CAIXA TRANSPARENTE POLIFASICA (CTP), PARA ENTRADA DE ENERGIA INDIVIDUAL, PADRAOLIGHT</t>
  </si>
  <si>
    <t>CAIXA DE DISJUNTORES TRIFASICO (CDJ3) INTERNA, PARA ENTRADA DE ENERGIA INDIVIDUAL, PADRAO LIGHT</t>
  </si>
  <si>
    <t>CAIXA SECCIONADORA (CS100), PARA ENTRADADE ENERGIA INDIVIDUAL, PADRAO LIGHT</t>
  </si>
  <si>
    <t>04.005.0123-B TRANSPORTE CARGA CAMINHAO 8T, 30KM/H</t>
  </si>
  <si>
    <t>11.013.0070-B CONCRETO ARMADO FCK 15MPA</t>
  </si>
  <si>
    <t>12.003.0075-B ALVENARIA TIJ. FURADO 10X20X20CM</t>
  </si>
  <si>
    <t>15.018.0133-A</t>
  </si>
  <si>
    <t>CAIXA DE ATERRAMENTO,EM PVC,25X25CM.FORNECIMENTO E COLOCACAO (OBS.:3%-DESGASTE DE FERRAMENTAS E EPI).</t>
  </si>
  <si>
    <t>CAIXA DE ATERRAMENTO EM PVC, 25X25CM</t>
  </si>
  <si>
    <t>15.018.0133-a</t>
  </si>
  <si>
    <t>CABO DE COBRE COM ISOLAMENTO TERMOPLASTICO,COMPREENDENDO:PREPARO,CORTE E ENFIACAO EM ELETRODUTOS,NA BITOLA DE 2,5MM2,450 /750V.FORNECIMENTO E COLOCACAO (OBS.:3%-DESGASTE DE FERRAMENTAS E EPI).</t>
  </si>
  <si>
    <t>CABO COM ISOLAMENTO TERMOPLASTICO, DE 0750V, DE 002,5MM2</t>
  </si>
  <si>
    <t>CABO DE COBRE COM ISOLAMENTO TERMOPLASTICO,COMPREENDENDO:PREPARO,CORTE E ENFIACAO EM ELETRODUTOS NA BITOLA DE 4MM2,450/7 50V.FORNECIMENTO E COLOCACAO (OBS.:3%-DESGASTE DE FERRAMENTAS E EPI).</t>
  </si>
  <si>
    <t>CABO COM ISOLAMENTO TERMOPLASTICO, DE 0750V, DE 004MM2</t>
  </si>
  <si>
    <t>CABO DE COBRE COM ISOLAMENTO TERMOPLASTICO,COMPREENDENDO:PREPARO,CORTE E ENFIACAO EM ELETRODUTOS NA BITOLA DE 10MM2,450/ 750V.FORNECIMENTO E COLOCACAO (OBS.:3%-DESGASTE DE FERRAMENTAS E EPI).</t>
  </si>
  <si>
    <t>CABO DE ISOLAMENTO TERMOPLASTICO, DE 0750V, DE 010MM2</t>
  </si>
  <si>
    <t>QUADRO DE DISTRIBUICAO DE ENERGIA PARA DISJUNTORES TERMO-MAGNETICOS UNIPOLARES,DE EMBUTIR,COM PORTA E BARRAMENTOS DE FAS E,NEUTRO E TERRA,TRIFASICO,PARA INSTALACAO DE ATE 18 DISJUNTORES COM DISPOSITIVO PARA CHAVE GERAL.FORNECIMENTO E COLOCAC AO. (OBS.:3%-DESGASTE DE FERRAMENTAS E EPI).</t>
  </si>
  <si>
    <t>QUADRO EMBUTIR, C/PORTA, P/DISJUNTORES TERMOMAGN.BARRAM.(TRIFASICO E NEUTRO) E DISPOS.P/CHAVE GERAL,INSTAL.18 DISJ.MONOF</t>
  </si>
  <si>
    <t>DISJUNTOR TERMOMAGNETICO UNIPOLAR,DE 10 A 30AX250V.FORNECIMENTO E COLOCACAO (OBS.:3%-DESGASTE DE FERRAMENTAS E EPI).</t>
  </si>
  <si>
    <t>DISJUNTOR TERMOMAGNETICO,BIPOLAR,DE 10 A 50AX250V.FORNECIMENTO E COLOCACAO (OBS.:3%-DESGASTE DE FERRAMENTAS E EPI).</t>
  </si>
  <si>
    <t>DISJUNTOR BIFASICO DE 250V, DE 010 A 050A</t>
  </si>
  <si>
    <t>DISJUNTOR TERMOMAGNETICO,TRIPOLAR,DE 10 A 50AX250V.FORNECIMENTO E COLOCACAO (OBS.:3%-DESGASTE DE FERRAMENTAS E EPI).</t>
  </si>
  <si>
    <t>DISJUNTOR TRIFASICO DE 250V, DE 010 A 050A</t>
  </si>
  <si>
    <t>RELE FOTOELETRICO, PARA LUMINARIA EXTERNA, DE 1000W-220V</t>
  </si>
  <si>
    <t>POSTE DE ACO RETO, CONICO CONTINUO, COMSAPATA, COMPRIMENTO DE 9M</t>
  </si>
  <si>
    <t>19.004.0080-C GUINDAUTO 3,5T, ALCANCE 5,90M (CP)</t>
  </si>
  <si>
    <t>ACO CA-25, ESTIRADO, PRECO DE REVENDEDOR, NO DIAMETRO DE 06,3MM</t>
  </si>
  <si>
    <t>11.001.0001-B CONCRETO FCK 10MPA</t>
  </si>
  <si>
    <t>13.001.0030-B EMBOCO ARG. CIM. E AREIA TRACO 1:4</t>
  </si>
  <si>
    <t>ALVENARIA PARA CAIXAS ENTERRADAS,ATE 0,80M DE PROFUNDIDADE,COM BLOCOS DE CONCRETO DE 10X20X40CM,COM ARGAMASSA DE CIMENTO E AREIA,NO TRACO 1:4 E CONCRETO 20MPA,PARA PREENCHIMENTO DOS FUROS DOS MESMOS,EM PAREDES DE MEIA VEZ(0,10M)</t>
  </si>
  <si>
    <t>BLOCO DE CONCRETO PRENSADO, PARA ALVENARIA, DE (10X20X40)CM</t>
  </si>
  <si>
    <t>11.001.0006-B CONCRETO FCK 20MPA</t>
  </si>
  <si>
    <t>CAIXA DE PASSAGEM PARA TELEFONE PADRAO TELEBRAS, DE (020X020X13,5)CM</t>
  </si>
  <si>
    <t>CAIXA DE PASSAGEM PARA TELEFONE PADRAO TELEBRAS, DE (040X040X13,5)CM</t>
  </si>
  <si>
    <t>INTERRUPTOR DE EMBUTIR, FOSFORESCENTE, COM PLACA, DE 2 TECLAS PARALELAS</t>
  </si>
  <si>
    <t>PLANTIO DE GRAMA ESMERALDA EM ROLO</t>
  </si>
  <si>
    <t>CHAPA DE ACO CARBONO,P/USOS GERAIS,LAMINADA FRIO,SUPERF.COM.,TAM.PADRAO,BORDAS UNIV.,REC.BRANCO,PRECO DE USINA,ESP.1,5MM</t>
  </si>
  <si>
    <t>ACO CA-50, ESTIRADO, PRECO DE FABRICA, NO DIAMETRO DE 06,3MM</t>
  </si>
  <si>
    <t>19.004.0080-E GUINDAUTO 3,5T, ALCANCE 5,90M (CI)</t>
  </si>
  <si>
    <t>11.002.0015-B PREPARO CONCR. BETON. 320L; 1,00M3/H</t>
  </si>
  <si>
    <t>11.002.0025-B LANCAMENTO CONC.C/ARM.1,0M3/H,HORIZ/VERT</t>
  </si>
  <si>
    <t>19.004.0004-C CAMINHAO CARROC. FIXA, 7,5T (CP)</t>
  </si>
  <si>
    <t>19.004.0004-E CAMINHAO CARROC. FIXA 7,5T (CI)</t>
  </si>
  <si>
    <t>19.004.0012-C CAMINHAO BASCUL. NO TOCO, 5M3 (CP)</t>
  </si>
  <si>
    <t>19.004.0012-E CAMINHAO BASCUL. NO TOCO, 5M3 (CI)</t>
  </si>
  <si>
    <t>CTR</t>
  </si>
  <si>
    <t>ENCARGOS SOCIAIS DESONERADOS: 90,79%(HORA)   51,52%(MÊS)</t>
  </si>
  <si>
    <t>trado</t>
  </si>
  <si>
    <t>cinta</t>
  </si>
  <si>
    <t>m</t>
  </si>
  <si>
    <t>kg</t>
  </si>
  <si>
    <t>5mm</t>
  </si>
  <si>
    <t>10mm</t>
  </si>
  <si>
    <t>total</t>
  </si>
  <si>
    <t>peso</t>
  </si>
  <si>
    <t>kg/m</t>
  </si>
  <si>
    <t>ferro</t>
  </si>
  <si>
    <t>Ø</t>
  </si>
  <si>
    <t>SI000095241</t>
  </si>
  <si>
    <t>SI000094968</t>
  </si>
  <si>
    <t>SI000094968 CONCRETO MAGRO PARA LASTRO, TRAÇO 1:4,5:4,5 (CIMENTO/ AREIA MÉDIA/ BRITA 1)  - PREPARO MECÂNICO COM BETONEIRA 600 L. AF_07/2016</t>
  </si>
  <si>
    <t>3.12</t>
  </si>
  <si>
    <t>PESO</t>
  </si>
  <si>
    <t>Retirada de meio fio e cordão de concreto simples c/ empilhamento e s/ remocao</t>
  </si>
  <si>
    <t>LASTRO DE CONCRETO MAGRO, APLICADO EM PISOS OU RADIERS, ESPESSURA DE 5 CM. AF_07_2016 (cintamento do alambrado)</t>
  </si>
  <si>
    <t xml:space="preserve">Retirada de meio fio e cordão de concreto simples </t>
  </si>
  <si>
    <t xml:space="preserve">Demolicao manual de concreto armado </t>
  </si>
  <si>
    <t>Escavacao manual de vala/cava em material de 1¦ categoria (areia,argila ou picarra),ate 1,50m de profundidade,exclusiv e escoramento e esgotamento  (cintamento do alambrado)</t>
  </si>
  <si>
    <t>1.15</t>
  </si>
  <si>
    <t>05.001.0070-A</t>
  </si>
  <si>
    <t>REMOCAO DE PAVIMENTACAO DE LAJOTAS DE CONCRETO,ALTAMENTE VIBRADO,INTERTRAVADO,PRE-FABRICADO</t>
  </si>
  <si>
    <t>basculante</t>
  </si>
  <si>
    <t>carroceria fixa</t>
  </si>
  <si>
    <t>ton</t>
  </si>
  <si>
    <t>Meio-fio reto de concreto simples fck=15mpa,pre-moldado,tipo der-rj,medindo 0,15m na base e com altura de 0,30m,rejuntam ento com argamassa de cimento e areia no traco 1:3,5,com fornecimento de todos os materiais,escavacao e reaterro .</t>
  </si>
  <si>
    <t>SARRAFO DE MADEIRA NAO APARELHADA *2,5 X 10 CM, MACARANDUBA, ANGELIM OU EQUIVALENTE DA REGIAO</t>
  </si>
  <si>
    <t>LONA PLASTICA PRETA, E= 150 MICRA</t>
  </si>
  <si>
    <t>CARPINTEIRO DE FORMAS COM ENCARGOS COMPLEMENTARES</t>
  </si>
  <si>
    <t>Pintura interna ou externa sobre ferro galvanizado ou aluminio,usando fundo para galvanizado,inclusive lixamento leve,limpeza,desengorduramento e duas demaos de acabamento com esmalte sintetico brilhante ou acetinado.             ( TUBOS DO ALAMBRADO)</t>
  </si>
  <si>
    <t>MEMÓRIA DE QUANTIDADES</t>
  </si>
  <si>
    <t>2 placas de 2m x 3m = 12,00m²</t>
  </si>
  <si>
    <t>154,54 m x 2,2m = 339,99m²</t>
  </si>
  <si>
    <t>2,5m x 4,0m = 10,0m²</t>
  </si>
  <si>
    <t>1 unidade x 4 meses de obra = 4,00 unxmês</t>
  </si>
  <si>
    <t>1 unidade</t>
  </si>
  <si>
    <t>meio-fio -(praça 01)56,38m + (praça 2) 73,30m + 30,18mx2(laterais da quadra) = 190,04m</t>
  </si>
  <si>
    <t>TOTAL = 4 UNIDADES</t>
  </si>
  <si>
    <t>lateral da quadra = 29,98 x 1,55 = 46,46m²</t>
  </si>
  <si>
    <t>conforme projeto = 30,18 x 16,63 = 501,89m²</t>
  </si>
  <si>
    <t>conforme projeto = 1 par</t>
  </si>
  <si>
    <t>conforme projeto = 1 unid.</t>
  </si>
  <si>
    <t>conforme projeto = 120,00m</t>
  </si>
  <si>
    <t>conforme projeto = 110,00m</t>
  </si>
  <si>
    <t>conforme projeto = 720,00m</t>
  </si>
  <si>
    <t>conforme projeto = 30,00m</t>
  </si>
  <si>
    <t>conforme projeto = 1,00 unid.</t>
  </si>
  <si>
    <t>conforme projeto = 7,00 unid.</t>
  </si>
  <si>
    <t>conforme projeto = 2,00 unid.</t>
  </si>
  <si>
    <t>conforme projeto = 4,00 unid.</t>
  </si>
  <si>
    <t>conforme projeto = 3,00 unid.</t>
  </si>
  <si>
    <t>LASTRO DE CONCRETO MAGRO, APLICADO EM PISOS OU RADIERS, ESPESSURA DE 5 CM. AF_07_2016 (sob os pisos tátil e direcional exceto em trechos de rampas)</t>
  </si>
  <si>
    <t>postes da praça</t>
  </si>
  <si>
    <t>postes da quadra</t>
  </si>
  <si>
    <t>Eletroduto de pvc rigido rosqueavel de 3/4"</t>
  </si>
  <si>
    <t>Haste para aterramento,de cobre de 5/8"(16mm),com 2,40m de comprimento.</t>
  </si>
  <si>
    <t>Cabo de cobre com isolamento termoplastico na bitola de 2,5mm2,450 /750v</t>
  </si>
  <si>
    <t>Cabo de cobre com isolamento termoplastico na bitola de 4mm2,450/7 50v.</t>
  </si>
  <si>
    <t>Cabo de cobre com isolamento termoplastico  na bitola de 10mm2,450/ 750v.</t>
  </si>
  <si>
    <t>Quadro de distribuicao de energia para instalacao de ate 18 disjuntores com dispositivo para chave geral.</t>
  </si>
  <si>
    <t>Disjuntor termomagnetico unipolar,de 10 a 30ax250v.</t>
  </si>
  <si>
    <t>Disjuntor termomagnetico,bipolar,de 10 a 50ax250v.</t>
  </si>
  <si>
    <t>Disjuntor termomagnetico,tripolar,de 10 a 50ax250v.</t>
  </si>
  <si>
    <t>Rele fotoeletrico,para comando de iluminacao externa,na tensao de 220v</t>
  </si>
  <si>
    <t xml:space="preserve">Caixa de alvenaria em blocos de concreto com dimensoes de 0,40x0,40x0,40m com fundo de concreto e tampa de concreto armado </t>
  </si>
  <si>
    <t>Caixa de passagem nas dimensoes de 20x20x13,5cm.</t>
  </si>
  <si>
    <t>Caixa de passagem nas dimensoes de 40x40x13,5cm.</t>
  </si>
  <si>
    <t>Tomada eletrica 2p+t,10a/250v,padrao brasileiro,de embutir,com placa 4"x2".</t>
  </si>
  <si>
    <t>Interruptor de embutir com 2 teclas simples fosforescentes e placa.</t>
  </si>
  <si>
    <t>Pintura interna ou externa sobre ferro galvanizado ou aluminio,usando fundo para galvanizado ( TUBOS DO ALAMBRADO)</t>
  </si>
  <si>
    <t>Banco de concreto armado,medindo 2,00x0,45x0,10m</t>
  </si>
  <si>
    <t>Recomposicao de capeamento de concreto e pequenas espessuras em servicos de recuperacao estrutural (BANCOS DE CONCRETO EXISTENTES CONSIDERANDO ESPESSURA DE 2CM DE CAPEAMENTO)</t>
  </si>
  <si>
    <t>Carga e descarga mecanica utilizando caminhao basculante a oleo diesel,com capacidade util de 8t.</t>
  </si>
  <si>
    <r>
      <t xml:space="preserve">Transporte de carga de qualquer natureza em caminhao basculante a oleo diesel,com capacidade util de 8t . </t>
    </r>
    <r>
      <rPr>
        <b/>
        <sz val="18"/>
        <rFont val="Arial"/>
        <family val="2"/>
      </rPr>
      <t>Dmt=28,0km - CTR</t>
    </r>
  </si>
  <si>
    <t>Descarga de materiais e residuos originarios da construcao civil em locais de disposicão ao final autorizados e/ou licenciados a operar pelos orgaosde controle ambiental . CTR BARRA MANSA</t>
  </si>
  <si>
    <t>Carga e descarga manual de material em caminhao de carroceria fixa a oleodiesel,com capacidade util de 7,5t.</t>
  </si>
  <si>
    <r>
      <t xml:space="preserve">Transporte em caminhao de carroceria fixa a oleo diesel,com capacidade util de 7,5t. </t>
    </r>
    <r>
      <rPr>
        <b/>
        <sz val="18"/>
        <rFont val="Arial"/>
        <family val="2"/>
      </rPr>
      <t>Dmt=24,5km - Susesp São Luiz</t>
    </r>
  </si>
  <si>
    <t>Tapume executado c/chapas de madeira compensada,resinada,lisa,de colagem fenolica,a prova d`agua, com 6mm de espessura.</t>
  </si>
  <si>
    <t>Barracao de obra</t>
  </si>
  <si>
    <t>Aluguel de banheiro quimico,portatil,inclusive instalacao e re tirada do equipamento,fornecimento de quimica desodorizante,bactericida e bacteriostatica,papel higienico e veiculo proprio com unidade movel de succao para limpeza</t>
  </si>
  <si>
    <t>Instalacao e ligacao provisoria para abastecimento de agua e esgotamento sanitario em canteiro de obras</t>
  </si>
  <si>
    <t>Instalacao e ligacao provisoria de alimentacao de energia eletrica,em baixa tensao,para canteiro de obras</t>
  </si>
  <si>
    <t>Preparo manual de terreno</t>
  </si>
  <si>
    <t>Demolicao manual de concreto armado (arrancamento de bancos de concreto)</t>
  </si>
  <si>
    <t>Material de 1ª categoria para aterros.</t>
  </si>
  <si>
    <t>Meio-fio de concreto simples .</t>
  </si>
  <si>
    <t>Cordoes de concreto simples</t>
  </si>
  <si>
    <t xml:space="preserve">Execução de passeio em piso intertravado, com bloco retangular cor natural de 20 x 10 cm, espessura 6 cm. </t>
  </si>
  <si>
    <t>Revestimento de piso com ceramica tatil alerta,25x25cm(ladrilho hidraulico) para pessoas com necessidades especificas</t>
  </si>
  <si>
    <t>Revestimento de piso com ceramica tatil direcional,25x25cm(ladrilho hidraulico),para pessoas com necessidades especificas</t>
  </si>
  <si>
    <t>LASTRO DE CONCRETO MAGRO (sob os pisos tátil e direcional, exceto em trechos de rampas)</t>
  </si>
  <si>
    <t>Execução de estaca a trado Ø30cm</t>
  </si>
  <si>
    <t>Escavacao manual de vala/cava ate 1,50m de profundidade (cintamento do alambrado)</t>
  </si>
  <si>
    <t>Reaterro de vala/cava  (cintamento do alambrado)</t>
  </si>
  <si>
    <t>LASTRO DE CONCRETO MAGRO (cintamento do alambrado)</t>
  </si>
  <si>
    <t>Alambrado para quadra poliesportiva</t>
  </si>
  <si>
    <t>Entrada de energia individual padrao light.</t>
  </si>
  <si>
    <t>Caixa de aterramento,em pvc,25x25cm.</t>
  </si>
  <si>
    <t>TOTAL C/ BDI</t>
  </si>
  <si>
    <t xml:space="preserve">TOTAL GERAL </t>
  </si>
  <si>
    <t>UNIT C/ BDI</t>
  </si>
  <si>
    <t>08.019.0009-A + 13.383.0003-A</t>
  </si>
  <si>
    <t>JUNTA DE RETRACAO,SERRADA COM DISCO DE DIAMANTE,PARA PAVIMENTOS DE PLACAS DE CONCRETO,COM 5CM DE PROFUNDIDADE, INCLUSIVE PREENCHIMENTO IMPERMEABILIZANTE DE HIDROASFALTO, CIMENTO E AREIA, NO TRAÇO 1:1:3, COM 1CM DE LARGURA.</t>
  </si>
  <si>
    <t>08.019.0009-A</t>
  </si>
  <si>
    <t>JUNTA DE RETRACAO,SERRADA COM DISCO DE DIAMANTE,PARA PAVIMENTOS DE PLACAS DE CONCRETO,COM 5CM DE PROFUNDIDADE</t>
  </si>
  <si>
    <t>30678</t>
  </si>
  <si>
    <t>19.006.0022-E MAQUINA DE JUNTAS 8,25CV GASOLINA (CI)</t>
  </si>
  <si>
    <t>30676</t>
  </si>
  <si>
    <t>19.006.0022-C MAQUINA DE JUNTAS 8,25CV GASOLINA (CP)</t>
  </si>
  <si>
    <t>13.383.0003-A</t>
  </si>
  <si>
    <t>JUNTA IMPERMEABILIZANTE DE HIDROASFALTO,CIMENTO E AREIA,NO TRACO 1:1:3 COM 2X2,5CM</t>
  </si>
  <si>
    <t>01373</t>
  </si>
  <si>
    <t>HIDRO ASFALTO, EM EMBALAGENS DE 18KG</t>
  </si>
  <si>
    <t>3.13</t>
  </si>
  <si>
    <t>JUNTA DE RETRACAO,SERRADA COM DISCO DE DIAMANTE,INCLUSIVE PREENCHIMENTO IMPERMEABILIZANTE DE HIDROASFALTO, CIMENTO E AREIA, NO TRAÇO 1:1:3, COM 1CM DE LARGURA.</t>
  </si>
  <si>
    <t>conforme projeto = 10 x 30,18m + 19 x 16,63m = 617,77m</t>
  </si>
  <si>
    <t>3.14</t>
  </si>
  <si>
    <t>18.200.0002-A</t>
  </si>
  <si>
    <t>POSTE PARA VOLEIBOL EM TUBO DE FERRO GALVANIZADO,COM CATRACA E BUCHAS.FORNECIMENTO</t>
  </si>
  <si>
    <t>05329</t>
  </si>
  <si>
    <t>POSTES P/VOLEI, EM TUBOS DE FERRO GALVANIZADO, C/CREMALHEIRAS E BUCHAS - (PAR)</t>
  </si>
  <si>
    <t>18.200.0003-A</t>
  </si>
  <si>
    <t>REDE DE VOLEIBOL OFICIAL COM CABO DE ACO.FORNECIMENTO</t>
  </si>
  <si>
    <t>05330</t>
  </si>
  <si>
    <t>REDE DE NYLON, P/VOLEI, OFICIAL, C/CABODE ACO</t>
  </si>
  <si>
    <t>3.15</t>
  </si>
  <si>
    <t xml:space="preserve">18.200.0002-A </t>
  </si>
  <si>
    <t>Fornecimento e instalação de poste para voleibol em tubo de ferro galvanizado, com catracas e buchas.</t>
  </si>
  <si>
    <t>Fornecimento de rede de voleibol oficial com cabo de aço.</t>
  </si>
  <si>
    <t xml:space="preserve">Fornecimento e instalação de poste de voleibol </t>
  </si>
  <si>
    <t xml:space="preserve">conforme projeto = 1par </t>
  </si>
  <si>
    <t>conforme projeto = 1 rede</t>
  </si>
  <si>
    <t>Fornecimento de rede de voleibol</t>
  </si>
  <si>
    <t>Data-Base:   EMOP -  RJ / SINAPI e SCO-RJ- Desonerado - Base NOV-18</t>
  </si>
  <si>
    <t>APROVAÇÃO: Eng. Eros dos Santos</t>
  </si>
  <si>
    <r>
      <t xml:space="preserve">Data-Base:   EMOP -  RJ / SINAPI e SCO-RJ- </t>
    </r>
    <r>
      <rPr>
        <b/>
        <sz val="14"/>
        <color indexed="8"/>
        <rFont val="Arial"/>
        <family val="2"/>
      </rPr>
      <t>Desonerado</t>
    </r>
    <r>
      <rPr>
        <sz val="14"/>
        <color indexed="8"/>
        <rFont val="Arial"/>
        <family val="2"/>
      </rPr>
      <t xml:space="preserve"> - Base NOV-18</t>
    </r>
  </si>
  <si>
    <t>PLACA DE IDENTIFICACAO DE OBRA PUBLICA,INCLUSIVE PINTURA E SUPORTES DE MADEIRA.FORNECIMENTO E COLOCACAO (OBS.:3% - DESGASTE DE FERRAMENTAS E EPI).</t>
  </si>
  <si>
    <t>PINUS, EM PECAS DE 7,50X7,50CM (3X3)</t>
  </si>
  <si>
    <t>TAPUME DE VEDACAO OU PROTECAO,EXECUTADO C/CHAPAS DE MADEIRA COMPENSADA,RESINADA,LISA,DE COLAGEM FENOLICA,A PROVA D`AGUA, COM 2,20X1,10M E 6MM DE ESPESSURA,PREGADAS EM PECAS DE MADEIRA DE 3¦ DE 3X3 HORIZONTAIS E VERTICAIS A CADA 1,22M,EXCLU SIVE PINTURA (OBS.:3% - DESGASTE DE FERRAMENTAS E EPI).</t>
  </si>
  <si>
    <t>GLOBO ESFERICO, EM VIDRO, TIPO LEITOSO,DE 4X6</t>
  </si>
  <si>
    <t>DOBRADICA EM FERRO LAMINADO, COM PINO DEFERRO REVERSIVEL, DE 3X3X5/64</t>
  </si>
  <si>
    <t>59.003.0010-B PINUS,PECA 1 X 12 E 1 X 9</t>
  </si>
  <si>
    <t>INSTALACAO E LIGACAO PROVISORIA PARA ABASTECIMENTO DE AGUA E ESGOTAMENTO SANITARIO EM CANTEIRO DE OBRAS,INCLUSIVE ESCAVA CAO,EXCLUSIVE REPOSICAO DA PAVIMENTACAO DO LOGRADOURO PUBLICO (OBS.:3% - DESGASTE DE FERRAMENTAS E EPI).</t>
  </si>
  <si>
    <t>REGISTRO DE GAVETA DE BRONZE, DE 1¦ QUALIDADE COM ROSCA DE AMBOS OS LADOS, DE 3/4</t>
  </si>
  <si>
    <t>TUBO DE ACO GALVANIZADO, COM COSTURA, PESADO, NBR 5580, DN=3/4</t>
  </si>
  <si>
    <t>LIGACAO DE AGUA CEDAE, PARA INSTALACAO NO PASSEIO, DE 3/4, VAZAO DE 3,0M3/H (VALOR TOTAL)</t>
  </si>
  <si>
    <t>INSTALACAO E LIGACAO PROVISORIA DE ALIMENTACAO DE ENERGIA ELETRICA,EM BAIXA TENSAO,PARA CANTEIRO DE OBRAS,M3-CHAVE 100A, CARGA 3KW,20CV,EXCLUSIVE O FORNECIMENTO DO MEDIDOR (OBS.:3% - DESGASTE DE FERRAMENTAS E EPI).</t>
  </si>
  <si>
    <t>ABRACADEIRA TIPO COPO, DE 1/2 UN 0.0855000 0,9200 0,0787</t>
  </si>
  <si>
    <t>ISOLADOR DE PINO HI-TOP, CLASSE 15KV</t>
  </si>
  <si>
    <t>MACARANDUBA EM PECAS, DE 7,50X15,00CM (3X6)</t>
  </si>
  <si>
    <t>CONDUITE FLEXIVEL, GALVANIZADO DE 1.1/2 M 1.0000000 9,2000 9,2000</t>
  </si>
  <si>
    <t>02441</t>
  </si>
  <si>
    <t>DISJUNTOR TRIFASICO 250V, DE 060 A 100A</t>
  </si>
  <si>
    <t>CURVA 90§ DE PVC RIGIDO, ROSQUEAVEL, PARA ELETRODUTO, DE 1.1/2</t>
  </si>
  <si>
    <t>ELETRODUTO DE PVC PRETO,RIGIDO ROSQUEAVEL,COM ROSCA EM AMBAS EXTREMIDADES,EM BARRAS DE 3 METROS,DE 1/2</t>
  </si>
  <si>
    <t>TUBO DE ACO GALVANIZADO, COM COSTURA, PESADO, NBR 5580, DN=2.1/2</t>
  </si>
  <si>
    <t>RETIRADA DE POSTE DE CONCRETO OU ACO,DE 3,50 A 9,00M (OBS.:3%-DESGASTE DE FERRAMENTAS E EPI).</t>
  </si>
  <si>
    <t>RETIRADA DE LUMINARIA EM ALTURA DE 4,00 A 9,00M (OBS.:3%-DESGASTE DE FERRAMENTAS E EPI).</t>
  </si>
  <si>
    <t>COMPACTACAO DE ATERRO,EM CAMADAS DE 15CM,COM MACO (OBS.:3%-DESGASTE DE FERRAMENTAS E EPI).</t>
  </si>
  <si>
    <t>MATERIAL DE 1¦ CATEGORIA PARA ATERROS,COMPREENDENDO:ESCAVACAO,CARGA,TRANSPORTE A 10KM EM CAMINHAO BASCULANTE E DESCARGA, CONSIDERANDO O VOLUME NECESSARIO A EXECUCAO DE 1,00M3 DE MATERIAL COMPACTADO (OBS.:3%-DESGASTE DE FERRAMENTAS E EPI).</t>
  </si>
  <si>
    <t>RETIRADA DE GRAMA EM PLACAS (OBS.:3%-DESGASTE DE FERRAMENTAS E EPI).</t>
  </si>
  <si>
    <t>REMOCAO DE PAVIMENTACAO DE LAJOTAS DE CONCRETO,ALTAMENTE VIBRADO,INTERTRAVADO,PRE-FABRICADO (OBS.:3%-DESGASTE DE FERRAMENTAS E EPI).</t>
  </si>
  <si>
    <t>SI000094273</t>
  </si>
  <si>
    <t>ASSENTAMENTO DE GUIA (MEIO-FIO) EM TRECHO RETO, CONFECCIONADA EM CONCRETO PRÉ-FABRICADO, DIMENSÕES 100X15X13X30 CM (COMPRIMENTO X BASE INFERIOR X BASE SUPERIOR X ALTURA), PARA VIAS URBANAS (USO VIÁRIO). AF_06/2016</t>
  </si>
  <si>
    <t>04059</t>
  </si>
  <si>
    <t>MEIO-FIO OU GUIA DE CONCRETO, PRE-MOLDADO, COMP 1 M, *30 X 15/ 12* CM (H X L1/L2)</t>
  </si>
  <si>
    <t>00370</t>
  </si>
  <si>
    <t>AREIA MEDIA - POSTO JAZIDA/FORNECEDOR (RETIRADO NA JAZIDA, SEM TRANSPORTE)</t>
  </si>
  <si>
    <t>SI000088629</t>
  </si>
  <si>
    <t>SI000088629 ARGAMASSA TRAÇO 1:3 (CIMENTO E AREIA MÉDIA), PREPARO MANUAL. AF_08/2014</t>
  </si>
  <si>
    <t>FORNECIMENTO E ASSENTAMENTO DE GUIA (MEIO-FIO) EM TRECHO RETO, CONFECCIONADA EM CONCRETO PRÉ-FABRICADO, DIMENSÕES 100X15X13X30 CM (COMPRIMENTO X BASE INFERIOR X BASE SUPERIOR X ALTURA), PARA VIAS URBANAS (USO VIÁRIO). AF_06/2016</t>
  </si>
  <si>
    <t>CORDOES DE CONCRETO SIMPLES,COM SECAO DE 10X25CM,MOLDADOS NO LOCAL,INCLUSIVE ESCAVACAO E REATERRO (OBS.:3%-DESGASTE DE FERRAMENTAS E EPI).</t>
  </si>
  <si>
    <t>36155</t>
  </si>
  <si>
    <t>BLOQUETE/PISO INTERTRAVADO DE CONCRETO - MODELO RETANGULAR/TIJOLINHO/PAVER/HOLANDES/PARALELEPIPEDO, 20 CM X 10 CM, E = 6 CM, RESISTENCIA DE 35 MPA (NBR 9781), COR NATURAL</t>
  </si>
  <si>
    <t>04741</t>
  </si>
  <si>
    <t>PO DE PEDRA (POSTO PEDREIRA/FORNECEDOR, SEM FRETE)</t>
  </si>
  <si>
    <t>SI000088260</t>
  </si>
  <si>
    <t>CALCETEIRO COM ENCARGOS COMPLEMENTARES</t>
  </si>
  <si>
    <t>SI000091285</t>
  </si>
  <si>
    <t>SI000091285 CORTADORA DE PISO COM MOTOR 4 TEMPOS A GASOLINA, POTÊNCIA DE 13 HP, COM DISCO DE CORTE DIAMANTADO SEGMENTADO PARA CONCRETO, DIÂMETRO DE 350 MM, FURO DE 1" (14 X 1") - CHI DIURNO. AF_08/2015</t>
  </si>
  <si>
    <t>CHI</t>
  </si>
  <si>
    <t>SI000091283</t>
  </si>
  <si>
    <t>SI000091283 CORTADORA DE PISO COM MOTOR 4 TEMPOS A GASOLINA, POTÊNCIA DE 13 HP, COM DISCO DE CORTE DIAMANTADO SEGMENTADO PARA CONCRETO, DIÂMETRO DE 350 MM, FURO DE 1" (14 X 1") - CHP DIURNO. AF_08/2015</t>
  </si>
  <si>
    <t>CHP</t>
  </si>
  <si>
    <t>SI000091278</t>
  </si>
  <si>
    <t>SI000091278 PLACA VIBRATÓRIA REVERSÍVEL COM MOTOR 4 TEMPOS A GASOLINA, FORÇA CENTRÍFUGA DE 25 KN (2500 KGF), POTÊNCIA 5,5 CV - CHI DIURNO. AF_08/2015</t>
  </si>
  <si>
    <t>SI000091277</t>
  </si>
  <si>
    <t>SI000091277 PLACA VIBRATÓRIA REVERSÍVEL COM MOTOR 4 TEMPOS A GASOLINA, FORÇA CENTRÍFUGA DE 25 KN (2500 KGF), POTÊNCIA 5,5 CV - CHP DIURNO. AF_08/2015</t>
  </si>
  <si>
    <t>SI000088245</t>
  </si>
  <si>
    <t>ARMADOR COM ENCARGOS COMPLEMENTARES</t>
  </si>
  <si>
    <t>LASTRO DE CONCRETO MAGRO, APLICADO EM PISOS OU RADIERS, ESPESSURA DE 5 CM. AF_07/2016</t>
  </si>
  <si>
    <t>SARRAFO DE MADEIRA NAO APARELHADA *2,5 X 7,5* CM (1 X 3 ") PINUS, MISTA OU EQUIVALENTE DA REGIAO</t>
  </si>
  <si>
    <t>TOTAL=</t>
  </si>
  <si>
    <t>TABELA DE BASQUETE EM COMPENSADO NAVAL,TAMANHO OFICIAL,COM ARO E REDE.FORNECIMENTO E COLOCACAO (OBS.:3%-DESGASTE DE FERRAMENTAS E EPI).</t>
  </si>
  <si>
    <t>BUCHA E ARRUELA DE ALUMINIO PARA ELETRODUTO, DE 3/4</t>
  </si>
  <si>
    <t>ELETRODUTO DE PVC PRETO, RIGIDO ROSQUEAVEL, COM ROSCA EM AMBAS EXTREMIDADES, EMBARRAS DE 3 METROS, DE 3/4</t>
  </si>
  <si>
    <t>ELETRODUTO DE PVC PRETO, RIGIDO ROSQUEAVEL, COM ROSCA EM AMBAS EXTREMIDADES, EMBARRAS DE 3 METROS, DE 1.1/4</t>
  </si>
  <si>
    <t>CURVA 90§ DE PVC RIGIDO, ROSQUEAVEL, PARA ELETRODUTO, DE 1.1/4</t>
  </si>
  <si>
    <t>LUVA DE PVC RIGIDO ROSQUEAVEL, P/ELETRODUTO, DE 1.1/4</t>
  </si>
  <si>
    <t>CINTA GALVANIZADA, COM PARAFUSOS, DE 4 UN 1.0000000 21,0300 21,0300</t>
  </si>
  <si>
    <t>BUCHA E ARRUELA DE ALUMINIO PARA ELETRODUTO, DE 1.1/4</t>
  </si>
  <si>
    <t>BOX DE ALUMINIO CURVO, DE 1.1/4 UN 1.0000000 12,3500 12,3500</t>
  </si>
  <si>
    <t>HASTE PARA ATERRAMENTO,DE COBRE DE 5/8(16MM),COM 2,40M DE COMPRIMENTO.FORNECIMENTO E COLOCACAO (OBS.:3%-DESGASTE DE FERRAMENTAS E EPI).</t>
  </si>
  <si>
    <t>HASTE ATERRAMENTO COBREADA, ALTA CAMADA,DE (5/8X2,40)M</t>
  </si>
  <si>
    <t>ELETRODUTO DE PVC RIGIDO ROSQUEAVEL DE 3/4,INCLUSIVE CONEXOES E EMENDAS,EXCLUSIVE ABERTURA E FECHAMENTO DE RASGO.FORNEC IMENTO E ASSENTAMENTO (OBS.:3%-DESGASTE DE FERRAMENTAS E EPI 10%-CONEXOES E EMENDAS).</t>
  </si>
  <si>
    <t>RELE FOTOELETRICO,PARA COMANDO DE ILUMINACAO EXTERNA,NA TENSAO DE 220V E CARGA MAXIMA DE 1.000W.FORNECIMENTO E COLOCACAO (OBS.:3%-DESGASTE DE FERRAMENTAS E EPI).</t>
  </si>
  <si>
    <t>PINUS, EM PECAS DE 2,50X30,00CM (1X12)</t>
  </si>
  <si>
    <t>TOMADA ELETRICA 2P+T, 10A/250V, PADRAO BRASILEIRO, DE EMBUTIR, COM PLACA 4X2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</si>
  <si>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</si>
  <si>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BANCO DE CONCRETO ARMADO,MEDINDO 2,00X0,45X0,10M,COM 0,40M DE ALTURA,APOIADO EM 2 BLOCOS DE CONCRETO DE 0,10X0,30X0,40M COM FUNDACAO CONFORME PROJETO CEHAB,REVESTIDO COM ARGAMASSADE CIMENTO E AREIA,NO TRACO 1:4,ACABAMENTO ASPERO (OBS.:3%-DESGASTE DE FERRAMENTAS E EPI).</t>
  </si>
  <si>
    <t>RECOMPOSICAO DE CAPEAMENTO DE CONCRETO E PEQUENAS ESPESSURAS EM SERVICOS DE RECUPERACAO ESTRUTURAL,COM ARGAMASSA DE CIME NTO E AREIA NO TRACO 1:3 ADITIVADA COM RESINA ACRILICA NA PROPORCAO 50ML/M3 DE ARGAMASSA E SILICA ATIVA NA PROPORCAO DE 5% A 10% DE CIMENTO (OBS.:3%-DESGASTE DE FERRAMENTAS E EPI).</t>
  </si>
  <si>
    <t>TOTAL GERAL COM BDI  28,82%=</t>
  </si>
  <si>
    <t>TOTAL GERAL COM BDI DE 28,82%=</t>
  </si>
  <si>
    <t>11.003.0006-A</t>
  </si>
  <si>
    <t>CONCRETO DOSADO RACIONALMENTE PARA UMA RESISTENCIA CARACTERISTICA A COMPRESSAO DE 30MPA,INCLUSIVE MATERIAIS,TRANSPORTE,P REPARO COM BETONEIRA,LANCAMENTO E ADENSAMENTO</t>
  </si>
  <si>
    <t>30249</t>
  </si>
  <si>
    <t>11.001.0008-B CONCRETO FCK 30MPA</t>
  </si>
  <si>
    <t>Execução de estaca a trado Ø30cm, inclusive perfuração manual, concreto dosado racionalmente a compressão de 30MPa, materiais, transporte, preparo com betoneira, lançamento e adensamento, inclusive corte,dobra, montagem e colocação de ferragens de CA-50 6,3mm e 10mm, inclusive materiais, mão-de-obra e equipamentos.</t>
  </si>
  <si>
    <t>11.011.0029-A</t>
  </si>
  <si>
    <t>CORTE,DOBRAGEM,MONTAGEM E COLOCACAO DE FERRAGENS NAS FORMAS,ACO CA-50,EM BARRAS REDONDAS,COM DIAMETRO IGUAL A 6,3MM (OBS.:3%-DESGASTE DE FERRAMENTAS E EPI).</t>
  </si>
  <si>
    <t>11.009.0013-A</t>
  </si>
  <si>
    <t>BARRA DE ACO CA-50,COM SALIENCIA OU MOSSA,COEFICIENTE DE CONFORMACAO SUPERFICIAL MINIMO (ADERENCIA) IGUAL A 1,5,DIAMETRO DE 6,3MM,DESTINADA A ARMADURA DE CONCRETO ARMADO,10% DE PERDAS DE PONTAS E ARAME 18.FORNECIMENTO</t>
  </si>
  <si>
    <t>01.001.0078-A + 11.003.0006-B + 11.009.0013-A +11.011.0029-A + 11.009.0014-B + 11.011.0030-B</t>
  </si>
  <si>
    <t>11.013.0140-A</t>
  </si>
  <si>
    <t>CONCRETO ARMADO,FCK=30MPA,INCLUINDO MATERIAIS PARA 1,00M3 DE CONCRETO(IMPORTADO DE USINA)ADENSADO E COLOCADO,12,00M2 DE AREA MOLDADA,FORMAS CONFORME O ITEM 11.004.0022,60KG DE ACOCA-50,INCLUSIVE MAO-DE-OBRA PARA CORTE,DOBRAGEM,MONTAGEM E COLOCACAO NAS FORMAS,EXCLUSIVE ESCORAMENTO (OBS.:3%-DESGASTE DE FERRAMENTAS E EPI).</t>
  </si>
  <si>
    <t>05844</t>
  </si>
  <si>
    <t>ACO CA-50, ESTIRADO, PRECO DE REVENDEDOR, NO DIAMETRO DE 06,3MM</t>
  </si>
  <si>
    <t>11.013.0140-5</t>
  </si>
  <si>
    <t>11.003.0006-a</t>
  </si>
  <si>
    <t>01.001.0078-A + 11.003.0006-a + 11.009.0013-A +11.011.0029-A + 11.009.0014-B + 11.011.0030-B</t>
  </si>
  <si>
    <t>11.003.0006-A - CONCRETO DOSADO RACIONALMENTE PARA UMA RESISTENCIA CARACTERISTICA A COMPRESSAO DE 30MPA,INCLUSIVE MATERIAIS,TRANSPORTE,P REPARO COM BETONEIRA,LANCAMENTO E ADENSAMENTO</t>
  </si>
  <si>
    <t>Concreto armado,fck=30mpa,incluindo materiais para 1,00m3 de concreto( preparo em betoneira, inclusive materiais e transporte)adensado e colocado,17,32m2 de area moldada,formas conforme o item 11.004.0022, 95,39kg de aço,inclusive mao-de-obra para corte,dobragem,montagem e colocacao nas formas,exclusive escoramento (VIGAS)</t>
  </si>
  <si>
    <t>Concreto armado,fck=30mpa,incluindo materiais para 1,00m3 de concreto( preparo em betoneira, inclusive materiais e transporte)adensado e colocado,13,98m2 de area moldada,formas conforme o item 11.004.0022, 116,81kg de aço,inclusive mao-de-obra para corte,dobragem,montagem e colocacao nas formas,exclusive escoramento (cintamento do alambrado)</t>
  </si>
  <si>
    <t>Concreto armado,fck=30mpa,incluindo materiais para 1,00m3 de concreto( preparo em betoneira, inclusive materiais e transporte)adensado e colocado,21,30m2 de area moldada,formas conforme o item 11.004.0022, 154,77kg de aço,inclusive mao-de-obra para corte,dobragem,montagem e colocacao nas formas,exclusive escoramento (PILARES)</t>
  </si>
  <si>
    <t>3.16</t>
  </si>
  <si>
    <t>(8,71m² + 4,54m²) (praça 01) + 6,44m² + 6,50m² (praça 02) = 26,19m²</t>
  </si>
  <si>
    <t>cordão de concreto - (praça 01)39,75m + (praça 2) 72,84m  = 112,59m</t>
  </si>
  <si>
    <r>
      <t xml:space="preserve">total geral = 190,04 + 112,59= </t>
    </r>
    <r>
      <rPr>
        <b/>
        <u val="single"/>
        <sz val="18"/>
        <rFont val="Arial"/>
        <family val="2"/>
      </rPr>
      <t>302,63m</t>
    </r>
  </si>
  <si>
    <t>conforme projeto = canteiros ---- Praça 01(25,88+21,41) + gola (1,13) = 48,42m²</t>
  </si>
  <si>
    <t xml:space="preserve">                                                 Praça 02(40,98+41,35) + gola (1,13 x 3) = 85,72m²</t>
  </si>
  <si>
    <r>
      <rPr>
        <b/>
        <sz val="18"/>
        <rFont val="Arial"/>
        <family val="2"/>
      </rPr>
      <t xml:space="preserve">                                                       </t>
    </r>
    <r>
      <rPr>
        <b/>
        <u val="single"/>
        <sz val="18"/>
        <rFont val="Arial"/>
        <family val="2"/>
      </rPr>
      <t>TOTAL = 134,14 m²</t>
    </r>
  </si>
  <si>
    <t>Praça 01 = 208,53 - canteiros (25,88m² + 21,41m²) + Praça 02 = 362,05m² - canteiros (41,35m² + 40,98m²) + calçada = 46,46m²</t>
  </si>
  <si>
    <r>
      <rPr>
        <b/>
        <sz val="18"/>
        <rFont val="Arial"/>
        <family val="2"/>
      </rPr>
      <t xml:space="preserve">             </t>
    </r>
    <r>
      <rPr>
        <b/>
        <u val="single"/>
        <sz val="18"/>
        <rFont val="Arial"/>
        <family val="2"/>
      </rPr>
      <t xml:space="preserve"> TOTAL =  487,42m²</t>
    </r>
  </si>
  <si>
    <t>área de grama = (134,14m²) + área de preparo manual (487,42m²)= 621,56m² x 0,15m = 93,23m³</t>
  </si>
  <si>
    <t>área compactada item 1.12 x 1,10 = 102,55m³</t>
  </si>
  <si>
    <t xml:space="preserve">conforme projeto = PRAÇA 01 = (56,38m-18,13m) = 38,25m + PRAÇA 02 = ( 73,29m-18,13m)=55,16 + CALÇADA = (30,09m) </t>
  </si>
  <si>
    <t>TOTAL GERAL = 123,50m</t>
  </si>
  <si>
    <r>
      <t xml:space="preserve">praça 01 = [(19,44m+23,13m) + gola (4,40m) + rampas (4,08m+6,68m)] + praça 02 = [(33,42m + 33,37m) + golas (4,40mx3) + rampa (4,08)]  + calçada ( 1,4m x 2)= </t>
    </r>
    <r>
      <rPr>
        <b/>
        <u val="single"/>
        <sz val="18"/>
        <rFont val="Arial"/>
        <family val="2"/>
      </rPr>
      <t>144,60m</t>
    </r>
  </si>
  <si>
    <t>Serviço :  Projeto para Modernização de Equipamento Esportivo</t>
  </si>
  <si>
    <t xml:space="preserve">(calçada) = 42,23m² - [ rampa (7,13m²) + pisos táteis (6,35m²)] = 28,75m² </t>
  </si>
  <si>
    <t>Praça 01 = 204,72m² - [ canteiros 23,13m² + 27,80m² + 1,53m²+ rampas (4,39m² + 6,09m²) + pisos táteis (4,93m²)] = 136,85m²</t>
  </si>
  <si>
    <t>Praça 02 = 352,15m² - [ canteiros 44,29m² + 44,69m² + 1,53m² x 3 + rampa (4,39m² ) + pisos táteis (4,17m²)] = 250,02m²</t>
  </si>
  <si>
    <t>total geral = 415,62m²</t>
  </si>
  <si>
    <t xml:space="preserve">(calçada) = [(0,50m x0,50m) + ((1,50m + 1,40m) x 0,25m) ] = 1,325m² </t>
  </si>
  <si>
    <t xml:space="preserve">(praça 01) = [(0,50m x 0,50m) x 3 + (1,50m x 2)x0,25m] =1,50m² </t>
  </si>
  <si>
    <t xml:space="preserve">(praça 02) = [(1,50m x 0,25m) + (0,50m x 0,50m) = 0,625m² </t>
  </si>
  <si>
    <r>
      <t xml:space="preserve"> </t>
    </r>
    <r>
      <rPr>
        <b/>
        <u val="single"/>
        <sz val="18"/>
        <rFont val="Arial"/>
        <family val="2"/>
      </rPr>
      <t xml:space="preserve"> TOTAL GERAL =3,45m² </t>
    </r>
  </si>
  <si>
    <t>(calçada) = (1,06m + 23,00m + 0,35m )= 24,41m</t>
  </si>
  <si>
    <t>(praça 01) = (0,375m + 1,0m + 1,05m + 0,25m + 1,56m + 13,58m+ 1,05m) = 18,86m</t>
  </si>
  <si>
    <t>(praça 02) = ( 0,42m + 15,08m + 1,05m)= 16,55m</t>
  </si>
  <si>
    <r>
      <t xml:space="preserve"> </t>
    </r>
    <r>
      <rPr>
        <b/>
        <u val="single"/>
        <sz val="18"/>
        <rFont val="Arial"/>
        <family val="2"/>
      </rPr>
      <t xml:space="preserve"> TOTAL GERAL = 59,82m x 0,25m = 14,96m² </t>
    </r>
  </si>
  <si>
    <t>(calçada) = ( 5,10m x 1,40m )= 7,14m²</t>
  </si>
  <si>
    <t>(praça 02) = [(1,50x1,70) + ((1,80x1,70)/2)] = 4,08m²</t>
  </si>
  <si>
    <t>(praça 01) = [(1,50x1,70) + ((1,80x1,70)x2/2) + (1,50x1,70) + ((1,8x1,70)/2)] = 9,69m²</t>
  </si>
  <si>
    <r>
      <t xml:space="preserve"> </t>
    </r>
    <r>
      <rPr>
        <b/>
        <u val="single"/>
        <sz val="18"/>
        <rFont val="Arial"/>
        <family val="2"/>
      </rPr>
      <t xml:space="preserve"> TOTAL GERAL =  20,91m² </t>
    </r>
  </si>
  <si>
    <t>(calçada) 7,04m² + (praça 01) 4,94m² + (praça 02) 4,09m² =  16,07m²</t>
  </si>
  <si>
    <t>conforme projeto = 52 unidades x 2m= 104,00m</t>
  </si>
  <si>
    <t>conforme projeto = tubos = (2,10m+(2,08mx2)+(1,45mx4)+1,67m ) x 2 portões =27,46m</t>
  </si>
  <si>
    <t>Concreto armado,fck=30mpa (cintamento do alambrado)</t>
  </si>
  <si>
    <t>Concreto armado,fck=30mpa (vigas)</t>
  </si>
  <si>
    <t>Concreto armado,fck=30mpa (pilares)</t>
  </si>
  <si>
    <t>conforme projeto = 4,18m³</t>
  </si>
  <si>
    <t>conforme projeto = 3,37m³</t>
  </si>
  <si>
    <t>conforme projeto = 1,51m³</t>
  </si>
  <si>
    <t>conforme projeto estrutural = 13,94m²</t>
  </si>
  <si>
    <t>conforme projeto estrutural = 14,63m²</t>
  </si>
  <si>
    <t>conforme projeto estrutural = 9,75m²</t>
  </si>
  <si>
    <t>12.007.0020-6</t>
  </si>
  <si>
    <t xml:space="preserve"> SINAPI 40520</t>
  </si>
  <si>
    <t>Bloquete/piso de concreto - modelo bloco pisograma/concregrama 2 furos, *35  cm x 15* cm, e =  *8* cm, cor natural</t>
  </si>
  <si>
    <t>00013</t>
  </si>
  <si>
    <t>ACO CA-60, ESTIRADO, PRECO DE REVENDEDOR, NO DIAMETRO DE 04,2MM</t>
  </si>
  <si>
    <t>12.007.0020-A</t>
  </si>
  <si>
    <t>PAREDE DE BLOCOS VAZADOS(COBOGO),DE CIMENTO E AREIA,COM PESO DE 9,6KG,39X39X7CM,ASSENTES COMO EM 12.006.0010 (OBS.:3%-DESGASTE DE FERRAMENTAS E EPI).</t>
  </si>
  <si>
    <t>Parede de blocos intertravados de concreto 15x29x8cm,assentes argamassa de cimento e areia,no traco 1:4,preparo mecanico. ( muro lateral da quadra)</t>
  </si>
  <si>
    <t>3.2 e 3.3</t>
  </si>
  <si>
    <t>sobra de terra = escavação menos reaterro =</t>
  </si>
  <si>
    <t>terra que sobra dos furos dos  trados =</t>
  </si>
  <si>
    <t>volei = 54,00  + 9,0 x 2,0 = 72,00m</t>
  </si>
  <si>
    <t>eixo = 16,27 m</t>
  </si>
  <si>
    <t>circulos = 18,84 + 9,42 = 28,26m</t>
  </si>
  <si>
    <t>futsal = 79,41 + 17,47 x 2 = 114,35m</t>
  </si>
  <si>
    <t>basquete = 22,12 x 2 + (15,40 + 0,09 x 10 + 4,71 + 0,14 + 4,36 + 1,57 ) x 2 = 98,40m</t>
  </si>
  <si>
    <t>TOTAL GERAL = = 329,28 m</t>
  </si>
  <si>
    <t>conforme projeto :</t>
  </si>
  <si>
    <t>L</t>
  </si>
  <si>
    <t>SI000088310</t>
  </si>
  <si>
    <t>PINTOR COM ENCARGOS COMPLEMENTARES</t>
  </si>
  <si>
    <t>07348</t>
  </si>
  <si>
    <t>TINTA ACRILICA PREMIUM PARA PISO</t>
  </si>
  <si>
    <t>3.17</t>
  </si>
  <si>
    <t>Parede de blocos intertravados de concreto 15x29x8cm,assentes argamassa de cimento e areia,no traco 1:4,preparo mecanico. ( muros da quadra)</t>
  </si>
  <si>
    <r>
      <t>Parede de blocos intertravados de concreto 15x29x8cm,assentes argamassa de cimento e areia,no traco 1:4,preparo mecanico.</t>
    </r>
    <r>
      <rPr>
        <b/>
        <sz val="14"/>
        <rFont val="Arial"/>
        <family val="2"/>
      </rPr>
      <t xml:space="preserve"> ( muros da quadra)</t>
    </r>
  </si>
  <si>
    <t>13.002.0011-B</t>
  </si>
  <si>
    <t>REVESTIMENTO EXTERNO,DE UMA VEZ,COM ARGAMASSA DE CIMENTO,SAIBRO MACIO E AREIA FINA,NO TRACO 1:3:3,COM ESPESSURA DE 2,5CM ,INCLUSIVE CHAPISCO DE CIMENTO E AREIA,NO TRACO 1:3 (OBS.:3%-DESGASTE DE FERRAMENTAS E EPI).</t>
  </si>
  <si>
    <t>30350</t>
  </si>
  <si>
    <t>13.001.0010-B CHAPISCO SUPERF. CONCR./ALVEN.,COM ARGAMASSA DE CIMENTO E AREIA NO TRACO 1:3</t>
  </si>
  <si>
    <t>30182</t>
  </si>
  <si>
    <t>07.007.0020-B ARGAMASSA CIM.,SAIBRO,AREIA 1:3:3,PREPARO MECANICO</t>
  </si>
  <si>
    <t>INTERNO = [(29,82 - ( portão 1,50)] x 1,00 x 2 = 56,64m²</t>
  </si>
  <si>
    <t>EXTERNO = {[ 29,82 - ( portão 1,50)] x 1,25 + (0,18 x 1,5 x 2) + vão dos portões ( 0,18 x 1,0 x 2 ) + laterais pilares (0,07 x 28) } x 2 lados = 76,52 m²</t>
  </si>
  <si>
    <t xml:space="preserve"> laterais: 56,64 + 76,52 = 133,16m²</t>
  </si>
  <si>
    <t>fundos: 49,16 + 60,60 = 109,76m²</t>
  </si>
  <si>
    <t>TOTAL GERAL = 242,92 m²</t>
  </si>
  <si>
    <t>A)</t>
  </si>
  <si>
    <t>B)</t>
  </si>
  <si>
    <t>INTERNO = [(16,27 x 1,50) + (0,18 x 0,50 x 2)] x 2 lados = 49,16m²</t>
  </si>
  <si>
    <t>EXTERNO = [ (16,08 x 1,75) + (0,31 x 1,68 x 2) + laterais pilares (0,07 x 16) ] x 2 lados = 60,60 m²</t>
  </si>
  <si>
    <t>Muros da quadra conforme projeto :</t>
  </si>
  <si>
    <t>TOTAL GERAL MUROS= 242,92 m²</t>
  </si>
  <si>
    <t>Pintura acrilica em piso cimentado duas demaos (piso da quadra, muros da quadra e bancos existentes das praças)</t>
  </si>
  <si>
    <t>conforme projeto:</t>
  </si>
  <si>
    <t>Tubos:</t>
  </si>
  <si>
    <t>fundos: vertical [(3,50x9)x2 ]+ horizontais [(16,50x3)x2] = 162,00m x 0,159 = 25,76 m²</t>
  </si>
  <si>
    <t>laterais: vertical [(4,00x16)x2 ]+ horizontais [(30,05x2) + 27,90 + 0,18]x2 = 304,36m x 0,159 = 48,39 m²</t>
  </si>
  <si>
    <t>portões = 23,48 x 0,159 = 3,73m²</t>
  </si>
  <si>
    <t>TOTAL GERAL  = 77,88m² x 2,5 (coeficiente adotado no boletim emop para pintura de tubulações de Ø2") = 194,70m²</t>
  </si>
  <si>
    <t>Emboço, inclusive chapisco (muros da quadra)</t>
  </si>
  <si>
    <t>TOTAL GERAL = 582,96 m</t>
  </si>
  <si>
    <r>
      <t xml:space="preserve"> lateral = verticais (16,60 x 6 x 2) + (3,80 x 2)= </t>
    </r>
    <r>
      <rPr>
        <b/>
        <u val="single"/>
        <sz val="18"/>
        <rFont val="Arial"/>
        <family val="2"/>
      </rPr>
      <t xml:space="preserve">199,60m </t>
    </r>
    <r>
      <rPr>
        <sz val="18"/>
        <rFont val="Arial"/>
        <family val="2"/>
      </rPr>
      <t xml:space="preserve">+  horizontais (30,05 x 2 + 27,90 + 0,18 ) x 2 = </t>
    </r>
    <r>
      <rPr>
        <b/>
        <u val="single"/>
        <sz val="18"/>
        <rFont val="Arial"/>
        <family val="2"/>
      </rPr>
      <t xml:space="preserve">176,36m  </t>
    </r>
    <r>
      <rPr>
        <b/>
        <sz val="18"/>
        <rFont val="Arial"/>
        <family val="2"/>
      </rPr>
      <t xml:space="preserve">   =      </t>
    </r>
    <r>
      <rPr>
        <b/>
        <u val="single"/>
        <sz val="18"/>
        <rFont val="Arial"/>
        <family val="2"/>
      </rPr>
      <t>375,96m</t>
    </r>
  </si>
  <si>
    <r>
      <t xml:space="preserve"> fundos = verticais (9,0 x 6 x 2) = </t>
    </r>
    <r>
      <rPr>
        <b/>
        <u val="single"/>
        <sz val="18"/>
        <rFont val="Arial"/>
        <family val="2"/>
      </rPr>
      <t xml:space="preserve">108,00m </t>
    </r>
    <r>
      <rPr>
        <sz val="18"/>
        <rFont val="Arial"/>
        <family val="2"/>
      </rPr>
      <t xml:space="preserve">+  horizontais (16,5 x 3) x 2 = </t>
    </r>
    <r>
      <rPr>
        <b/>
        <u val="single"/>
        <sz val="18"/>
        <rFont val="Arial"/>
        <family val="2"/>
      </rPr>
      <t xml:space="preserve">99,00m  </t>
    </r>
    <r>
      <rPr>
        <b/>
        <sz val="18"/>
        <rFont val="Arial"/>
        <family val="2"/>
      </rPr>
      <t xml:space="preserve">   =      </t>
    </r>
    <r>
      <rPr>
        <b/>
        <u val="single"/>
        <sz val="18"/>
        <rFont val="Arial"/>
        <family val="2"/>
      </rPr>
      <t>207,00m</t>
    </r>
  </si>
  <si>
    <r>
      <t xml:space="preserve">conforme projeto : 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[(3,50 x 16,51 + (4,0 x 30,05)]x 2</t>
    </r>
    <r>
      <rPr>
        <b/>
        <sz val="18"/>
        <rFont val="Arial"/>
        <family val="2"/>
      </rPr>
      <t xml:space="preserve"> - </t>
    </r>
    <r>
      <rPr>
        <sz val="18"/>
        <rFont val="Arial"/>
        <family val="2"/>
      </rPr>
      <t>portões (3,1m² x 2 )</t>
    </r>
    <r>
      <rPr>
        <b/>
        <sz val="18"/>
        <rFont val="Arial"/>
        <family val="2"/>
      </rPr>
      <t xml:space="preserve">= </t>
    </r>
    <r>
      <rPr>
        <b/>
        <u val="single"/>
        <sz val="20"/>
        <rFont val="Arial"/>
        <family val="2"/>
      </rPr>
      <t>349,77m²</t>
    </r>
  </si>
  <si>
    <t>INSTALAÇÕES ELÉTRICAS - AGUARDANDO REVISÃO ABIMAR EM 29-03-2019</t>
  </si>
  <si>
    <r>
      <t xml:space="preserve">conforme projeto = 501,89m² (quadra) + bancos existentes [tampo(2,60x0,40) + lateral (6,00x0,10) + pés (1,28x0,34x2)] x 11 unidades + bancos novos  [tampo(2,00x0,45) + lateral (4,90x0,10) + pés (0,80x0,40x2)] x 3 unidades + muros da quadra (242,92) = </t>
    </r>
    <r>
      <rPr>
        <b/>
        <u val="single"/>
        <sz val="18"/>
        <rFont val="Arial"/>
        <family val="2"/>
      </rPr>
      <t>760,47m²</t>
    </r>
  </si>
  <si>
    <r>
      <t xml:space="preserve">Considerado 48,74m³ proveniente de limpeza + 0,69m³ de demolição de bancos de concreto + 2,62m³ de remoção de terra de canteiros + 5,58m³ de remoção de intertravados + 4,88m³ ( escavação menos reaterro) + 7,35m³  (trados) = 48,74x1,8ton/m³ + 0,69 x 2,5tond/m³ + 2,62 x 1,8ton/m³ + 5,58 x 2,3ton/m³ + 4,88 x 1,8ton/m³+ 7,35 x 1,8ton/m³= 129,02 ton + 20% de empolamento = </t>
    </r>
    <r>
      <rPr>
        <b/>
        <u val="single"/>
        <sz val="18"/>
        <rFont val="Arial"/>
        <family val="2"/>
      </rPr>
      <t>154,82 toneladas</t>
    </r>
  </si>
  <si>
    <r>
      <t xml:space="preserve">Considerado 154,82 toneladas x 28km = </t>
    </r>
    <r>
      <rPr>
        <b/>
        <u val="single"/>
        <sz val="18"/>
        <rFont val="Arial"/>
        <family val="2"/>
      </rPr>
      <t>4.334,96 t x km</t>
    </r>
  </si>
  <si>
    <r>
      <t xml:space="preserve">Considerado (48,74m³ proveniente de limpeza + 0,69m³ de demolição de bancos de concreto + 2,62m³ de remoção de terra de canteiros + 5,58m³ de remoção de intertravados + 4,88m³ ( escavação menos reaterro) + 7,35m³  (trados)  ) x 1,2 (empolamento) = </t>
    </r>
    <r>
      <rPr>
        <b/>
        <u val="single"/>
        <sz val="18"/>
        <rFont val="Arial"/>
        <family val="2"/>
      </rPr>
      <t>83,83 m³</t>
    </r>
  </si>
  <si>
    <r>
      <t xml:space="preserve">Considerado 5 caminhões para transportar os meio-fios e os cordões de concreto + 1 caminhão para transportar postes, luminárias e tubos de brinquedo existente e traves de gol = 6 unid.  x 7,5t= </t>
    </r>
    <r>
      <rPr>
        <b/>
        <u val="single"/>
        <sz val="18"/>
        <rFont val="Arial"/>
        <family val="2"/>
      </rPr>
      <t>45toneladas</t>
    </r>
  </si>
  <si>
    <r>
      <t xml:space="preserve">Considerado 45toneladas x 24,5km = </t>
    </r>
    <r>
      <rPr>
        <b/>
        <u val="single"/>
        <sz val="18"/>
        <rFont val="Arial"/>
        <family val="2"/>
      </rPr>
      <t>1.102,50 txkm</t>
    </r>
  </si>
  <si>
    <r>
      <t xml:space="preserve">Transporte de carga de qualquer natureza,exclusive as despesas de carga e descarga,tanto de espera do caminhao como do s ervente ou equipamento auxiliar,a velocidade media de 30km/h,em caminhao de carroceria fixa a oleo diesel,com capacidade util de 7,5t. </t>
    </r>
    <r>
      <rPr>
        <b/>
        <sz val="14"/>
        <rFont val="Arial"/>
        <family val="2"/>
      </rPr>
      <t>Dmt=24,5km - SMMU - São Luiz</t>
    </r>
  </si>
  <si>
    <r>
      <t xml:space="preserve">Transporte de carga de qualquer natureza,exclusive as despesas de carga e descarga,tanto de espera do caminhao como do s ervente ou equipamento auxiliar,a velocidade media de 30km/h,em caminhao de carroceria fixa a oleo diesel,com capacidade util de 7,5t. </t>
    </r>
    <r>
      <rPr>
        <b/>
        <sz val="12"/>
        <rFont val="Arial"/>
        <family val="2"/>
      </rPr>
      <t>Dmt=24,5km - SMMU - São Luiz</t>
    </r>
  </si>
  <si>
    <r>
      <t xml:space="preserve">CONSIDERADO 13,73 m / 3,10m² = </t>
    </r>
    <r>
      <rPr>
        <b/>
        <u val="single"/>
        <sz val="14"/>
        <rFont val="Arial"/>
        <family val="2"/>
      </rPr>
      <t>4,42 m</t>
    </r>
    <r>
      <rPr>
        <b/>
        <sz val="14"/>
        <rFont val="Arial"/>
        <family val="2"/>
      </rPr>
      <t xml:space="preserve"> DE TUBO PARA CADA M² DE PORTÃO CONFORME MEMÓRIA DE QUANTIDADES.</t>
    </r>
  </si>
  <si>
    <t>14.007.0330-A</t>
  </si>
  <si>
    <t>TARGETAO DE FERRO GALVANIZADO,DE 36CM,COM ADAPTACAO DE HASTE PARA DUPLO FUNCIONAMENTO,FECHAMENTO COM CADEADO, EXCLUSIVE ESTE,CONFORME PROJETO N§6017/EMOP.FORNECIMENTO E COLOCACAO (OBS.:60%-ADAPTACAO DE HASTE DUPLA).</t>
  </si>
  <si>
    <t>02956</t>
  </si>
  <si>
    <t>TARJETAO DE FERRO GALVANIZADO, COM ADAPTACAO DE HASTE, P/DUPLO FUNCIONAMENTO, FECHAMENTO COM CADEADO DE 36CM</t>
  </si>
  <si>
    <t>14.007.0286-A</t>
  </si>
  <si>
    <t>DOBRADICA 4X3,DE FERRO GALVANIZADO,COM PINO,BOLAS E ANEIS DE LATAO.FORNECIMENTO</t>
  </si>
  <si>
    <t>00930</t>
  </si>
  <si>
    <t>DOBRADICA EM FERRO GALVANIZADO, COM PINO, BOLAS E ANEIS DE LATAO, DE 3X4</t>
  </si>
  <si>
    <t>14.007.0324-A</t>
  </si>
  <si>
    <t>CADEADO DE 50MM,C/DUPLA TRAVA,DISCO DE SEGURANCA ANTI-GAZUA,CORPO DE LATAO MACICO,CILINDRO DE LATAO TREFILADO.FORNECIMEN TO</t>
  </si>
  <si>
    <t>05469</t>
  </si>
  <si>
    <t>CADEADO COM DUPLA TRAVA, DISCO DE SEGURANCA ANTI GAZUA, CORPO DE LATAO MACICO, CILINDRO DE LATAO TREFILADO, DE 50MM</t>
  </si>
  <si>
    <r>
      <t xml:space="preserve">calculando preço por m² de portão teremos somatório dos itens B,C,D (R$ 217,44) dividido pela metragem de portão (3,10m²) = </t>
    </r>
    <r>
      <rPr>
        <b/>
        <u val="single"/>
        <sz val="14"/>
        <rFont val="Arial"/>
        <family val="2"/>
      </rPr>
      <t>R$ 70,14 por m²</t>
    </r>
  </si>
  <si>
    <t>b</t>
  </si>
  <si>
    <t>c</t>
  </si>
  <si>
    <t>d</t>
  </si>
  <si>
    <t>a</t>
  </si>
  <si>
    <t>SI74244/001 - alterado + 14.007.0330-A +  14.007.0324-A + 14.007.0286-A</t>
  </si>
  <si>
    <t>Fornecimento e colocação de portão  para quadra poliesportiva, estruturado por tubos de aço galvanizado, com costura, din 2440, diâmetro 2", com tela de arame galvanizado, fio 14 bwg e malha quadrada 5x5cm, inclusive targetão de ferro galvanizado, de 36cm,com adaptação de haste para duplo funcionamento, fechamento com cadeado de 50mm,c/dupla trava, disco de segurança anti-gazua, corpo de latão maciço, cilindro de latão trefilado, inclusive este e duas dobradiças 4”x3”,de ferro galvanizado, com pino, bolas e anéis de latão.</t>
  </si>
  <si>
    <r>
      <t xml:space="preserve"> </t>
    </r>
    <r>
      <rPr>
        <sz val="20"/>
        <rFont val="Arial"/>
        <family val="2"/>
      </rPr>
      <t>Portões conforme projeto com tubos e tela.</t>
    </r>
  </si>
  <si>
    <r>
      <t xml:space="preserve">telas = [(1,35x1,98)+(0,55x1,70)] x 2 portões = </t>
    </r>
    <r>
      <rPr>
        <b/>
        <u val="single"/>
        <sz val="18"/>
        <rFont val="Arial"/>
        <family val="2"/>
      </rPr>
      <t>7,22m²</t>
    </r>
  </si>
  <si>
    <t>CÓDIGO</t>
  </si>
  <si>
    <t>DESCRIÇÃO DO SERVIÇO OU FORNECIMENTO</t>
  </si>
  <si>
    <t>UNIDADE</t>
  </si>
  <si>
    <t xml:space="preserve">DATA BASE </t>
  </si>
  <si>
    <t>PREÇO REFERENCIAL</t>
  </si>
  <si>
    <t>CNPJ</t>
  </si>
  <si>
    <t>NOME DA EMPRESA FORNECEDORA</t>
  </si>
  <si>
    <t>TELEFONE</t>
  </si>
  <si>
    <t>CONTATO</t>
  </si>
  <si>
    <t>DATA COTAÇÃO</t>
  </si>
  <si>
    <t>PREÇO COTADO</t>
  </si>
  <si>
    <t>PREÇO MÉDIO</t>
  </si>
  <si>
    <t>5.5</t>
  </si>
  <si>
    <t>Fornecimento da luminária de led 150w</t>
  </si>
  <si>
    <t>18.923.774/0001-50</t>
  </si>
  <si>
    <t>LEDMAX</t>
  </si>
  <si>
    <t xml:space="preserve">(11) 4784-4479 </t>
  </si>
  <si>
    <t>VIA SITE</t>
  </si>
  <si>
    <t>12.966.746/0001-33</t>
  </si>
  <si>
    <t>ENERGIA EXTRA</t>
  </si>
  <si>
    <t>(11) 2359-6651</t>
  </si>
  <si>
    <t>23.429.903/0001-98</t>
  </si>
  <si>
    <t>ILUMINIM</t>
  </si>
  <si>
    <t>0800 580 0332</t>
  </si>
  <si>
    <t>21.020.0075-A</t>
  </si>
  <si>
    <t>LUMINARIA FECHADA COM LAMPADA DE DESCARGA,COM REATOR INTEGRADO,EM PONTA DE BRACO OU POSTE DE ACO CURVO ATE 10,00M DE ALT URA,EXCLUSIVE FORNECIMENTO DA LUMINARIA.COLOCACAO</t>
  </si>
  <si>
    <t>COTAÇÃO MERCADO</t>
  </si>
  <si>
    <r>
      <t xml:space="preserve">21.003.0080-A + 21.001.0160-A + </t>
    </r>
    <r>
      <rPr>
        <sz val="14"/>
        <rFont val="Calibri"/>
        <family val="2"/>
      </rPr>
      <t>SCO IP 50.20.0228       +  21.020.0075-A+ MERCADO</t>
    </r>
  </si>
  <si>
    <t>21.003.0080-A + 21.001.0160-A + SCO IP 50.20.0228       +  21.020.0075-A+ MERCADO</t>
  </si>
  <si>
    <r>
      <t xml:space="preserve">21.003.0057-A + 21.001.0165-A + </t>
    </r>
    <r>
      <rPr>
        <sz val="14"/>
        <rFont val="Calibri"/>
        <family val="2"/>
      </rPr>
      <t>SCO IP 50.20.0228       +  21.020.0075-A+ MERCADO</t>
    </r>
  </si>
  <si>
    <t>21.003.0057-A + 21.001.0165-A + SCO IP 50.20.0228       +  21.020.0075-A+ MERCADO</t>
  </si>
  <si>
    <t>Fornecimento e assentamento de poste de aço reto, conico, continuo, altura de 6m, inclusive nucleo triplo para luminarias em aco de baixo teor de carbono SAE 1010/1020 galvanizado a fusao, interna e externamente por imersao unica em banho de zinco, conforme NBR-7398 e 7400 da ABNT, nucleo diametro interno de 128mm, bracos com diametro externo de 60,3mm, comprimento de 368mm, conforme desenho A2-1621-PD e especificacao EM-RIOLUZ no 40, inclusivie 03 luminárias led de 150W. (postes da praça)</t>
  </si>
  <si>
    <t>Fornecimento e assentamento de poste de aço reto, conico, continuo, altura de 9m, com sapata e base, inclusive  inclusive nucleo triplo para luminarias led 150w . (postes da quadra)</t>
  </si>
  <si>
    <t>34494</t>
  </si>
  <si>
    <t>CONCRETO USINADO BOMBEAVEL, CLASSE DE RESISTENCIA C30, COM BRITA 0 E 1, SLUMP = 100 +/- 20 MM, EXCLUI SERVICO DE BOMBEAMENTO (NBR 8953)</t>
  </si>
  <si>
    <t>SI000094997  alterado</t>
  </si>
  <si>
    <t>RÉGUA VIBRATÓRIA DUPLA PARA CONCRETO, PESO DE 60KG, COMPRIMENTO 4 M, COM MOTOR A GASOLINA, POTÊNCIA 5,5 HP - CHP DIURNO. AF_09/2016</t>
  </si>
  <si>
    <t>RÉGUA VIBRATÓRIA DUPLA PARA CONCRETO, PESO DE 60KG, COMPRIMENTO 4 M, COM MOTOR A GASOLINA, POTÊNCIA 5,5 HP - CHI DIURNO. AF_09/2016</t>
  </si>
  <si>
    <t>SI000095270</t>
  </si>
  <si>
    <t>SI000095271</t>
  </si>
  <si>
    <t>Execução de  piso de concreto com concreto moldado in loco, usinado , classe de resistencia c30, com brita 0 e 1, slump = 100 +/- 20 mm, acabamento com regua vibratória dupla, espessura 10 cm, armado. Af_07/2016, inclusive lona plastica preta, formas de madeira, tela de aço ca-60 q-196, polimento mecânico.</t>
  </si>
  <si>
    <t>So000095276</t>
  </si>
  <si>
    <t>POLIDORA DE PISO (POLITRIZ), PESO DE 100KG, DIÂMETRO 450 MM, MOTOR ELÉTRICO, POTÊNCIA 4 HP - CHP DIURNO. AF_09/2016</t>
  </si>
  <si>
    <t>So000095277</t>
  </si>
  <si>
    <t>POLIDORA DE PISO (POLITRIZ), PESO DE 100KG, DIÂMETRO 450 MM, MOTOR ELÉTRICO, POTÊNCIA 4 HP - CHI DIURNO. AF_09/2016</t>
  </si>
  <si>
    <t>Execução de  piso de concreto com concreto moldado in loco, usinado , classe de resistencia c30.</t>
  </si>
  <si>
    <t>Banco de concreto armado,medindo 2,00x0,45x0,10m,com 0,40m de altura,apoiado em 2 blocos de concreto de 0,10x0,30x0,40m com fundacao conforme projeto cehab,revestido com argamassade cimento e areia,no traco 1:4,acabamento liso.</t>
  </si>
  <si>
    <t>conforme projeto = bancos existentes [tampo(2,60x0,40) + lateral (6,00x0,10) + pés (1,28x0,34x2)] x 8 unidades x 0,02m espessura = 0,40m³</t>
  </si>
  <si>
    <t>3.18</t>
  </si>
  <si>
    <t>09.020.0090-A</t>
  </si>
  <si>
    <t>TELA EM POLIETILENO DE ALTA DENSIDADE,100% VIRGEM,COM MALHA DE (5X5)CM,COM RESISTENCIA A TRACAO DE 250KGF.FORNECIMENTO E COLOCACAO (OBS.:52%-COLOCACAO).</t>
  </si>
  <si>
    <t>10905</t>
  </si>
  <si>
    <t>TELA POLIETILENO DE ALTA DENSIDADE, MALHA DE (5X5)CM, ESTABILIZADO CONTRA RAIOSULTRA-VIOLETA</t>
  </si>
  <si>
    <t>TELA EM POLIETILENO DE ALTA DENSIDADE,100% VIRGEM,COM MALHA DE (5X5)CM,COM RESISTENCIA A TRACAO DE 250KGF.FORNECIMENTO E COLOCACAO (sobre a quadra)</t>
  </si>
  <si>
    <t>conforme projeto = 501,89 + 20% = 602,27 m²</t>
  </si>
  <si>
    <t>TOTAL = 8 UNIDADES</t>
  </si>
  <si>
    <t>COTAÇÕES DE MERCADO ORÇAMENTO 006-19 - Revitalização da Praça Nossa Senhora dos Remédios</t>
  </si>
  <si>
    <t>ORÇAMENTO Nº 006-2019</t>
  </si>
  <si>
    <r>
      <t xml:space="preserve">conforme projeto = laterais = { 27,29 - [ pilares ( 0,28 x 13) x 0,67]} x 2 lados = 31,69m²  + fundos { 16,08 - [ pilares ( 0,28 x 7) x 1,22]} x 2 = 27,38m² -------- </t>
    </r>
    <r>
      <rPr>
        <b/>
        <u val="single"/>
        <sz val="18"/>
        <rFont val="Arial"/>
        <family val="2"/>
      </rPr>
      <t>TOTAL GERAL = 66,14m²</t>
    </r>
  </si>
  <si>
    <r>
      <t xml:space="preserve">PLANILHA ORÇAMENTARIA </t>
    </r>
    <r>
      <rPr>
        <b/>
        <u val="single"/>
        <sz val="14"/>
        <color indexed="10"/>
        <rFont val="Arial"/>
        <family val="2"/>
      </rPr>
      <t>COM BDI DE 12% no item 7.3 e 28,82% nos demais itens</t>
    </r>
  </si>
  <si>
    <t>11.013.0140-6</t>
  </si>
  <si>
    <t>11.013.0140-7</t>
  </si>
  <si>
    <r>
      <t xml:space="preserve">Concreto armado,fck=30mpa,incluindo materiais para 1,00m3 de concreto( preparo em betoneira, inclusive materiais e transporte)adensado e colocado,21,30m2 de area moldada,formas conforme o item 11.004.0022, 154,77kg de aço,inclusive mao-de-obra para corte,dobragem,montagem e colocacao nas formas,exclusive escoramento </t>
    </r>
    <r>
      <rPr>
        <b/>
        <sz val="16"/>
        <rFont val="Arial"/>
        <family val="2"/>
      </rPr>
      <t>(PILARES)</t>
    </r>
  </si>
  <si>
    <r>
      <t>Concreto armado,fck=30mpa,incluindo materiais para 1,00m3 de concreto( preparo em betoneira, inclusive materiais e transporte)adensado e colocado,17,32m2 de area moldada,formas conforme o item 11.004.0022, 95,39kg de aço,inclusive mao-de-obra para corte,dobragem,montagem e colocacao nas formas,exclusive escoramento</t>
    </r>
    <r>
      <rPr>
        <b/>
        <sz val="16"/>
        <rFont val="Arial"/>
        <family val="2"/>
      </rPr>
      <t xml:space="preserve"> (VIGAS)</t>
    </r>
  </si>
  <si>
    <r>
      <t xml:space="preserve">Concreto armado,fck=30mpa,incluindo materiais para 1,00m3 de concreto( preparo em betoneira, inclusive materiais e transporte)adensado e colocado,13,98m2 de area moldada,formas conforme o item 11.004.0022, 116,81kg de aço,inclusive mao-de-obra para corte,dobragem,montagem e colocacao nas formas,exclusive escoramento </t>
    </r>
    <r>
      <rPr>
        <b/>
        <sz val="16"/>
        <rFont val="Arial"/>
        <family val="2"/>
      </rPr>
      <t>(cintamento do alambrado)</t>
    </r>
  </si>
  <si>
    <t>DATA: 10/04/2019 - Revisão 10 maio-19</t>
  </si>
  <si>
    <t>PESO DE AÇO CA-60 6,3mm POR METRO DE TRADO = PESO TOTAL  DIVIDIDO PELO VOLUME TOTAL DIVIDIDO PELO COMPRIMENTO TOTAL = 127,53 kg / 7,35m³ / 104m = 0,1668kg /m ( itens C e D )</t>
  </si>
  <si>
    <t>PESO DE AÇO CA-50 10,0mm POR METRO DE TRADO = PESO TOTAL  DIVIDIDO PELO VOLUME TOTAL DIVIDIDO PELO COMPRIMENTO TOTAL = 273,87 kg / 7,35m³ / 104m = 0,3583kg /m (itens E e F)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</si>
</sst>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0.0%"/>
    <numFmt numFmtId="167" formatCode="_([$€]* #,##0.00_);_([$€]* \(#,##0.00\);_([$€]* &quot;-&quot;??_);_(@_)"/>
    <numFmt numFmtId="168" formatCode="_ * #,##0.00_ ;_ * \-#,##0.00_ ;_ * &quot;-&quot;??_ ;_ @_ "/>
    <numFmt numFmtId="169" formatCode="_-* #,##0.00\ _E_s_c_._-;\-* #,##0.00\ _E_s_c_._-;_-* &quot;-&quot;??\ _E_s_c_._-;_-@_-"/>
    <numFmt numFmtId="170" formatCode="_(* #,##0.00_);_(* \(#,##0.00\);_(* &quot;-&quot;??_);_(@_)"/>
    <numFmt numFmtId="171" formatCode="#,##0.000"/>
    <numFmt numFmtId="172" formatCode="0.0000"/>
    <numFmt numFmtId="173" formatCode="#,##0.000_ ;\-#,##0.0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#,##0.0000_ ;\-#,##0.0000\ "/>
    <numFmt numFmtId="179" formatCode="#,##0.00000_ ;\-#,##0.00000\ "/>
    <numFmt numFmtId="180" formatCode="#,##0.000000_ ;\-#,##0.000000\ "/>
    <numFmt numFmtId="181" formatCode="#,##0.0000000_ ;\-#,##0.0000000\ "/>
    <numFmt numFmtId="182" formatCode="#,##0.0000"/>
    <numFmt numFmtId="183" formatCode="dd/mm/yy"/>
    <numFmt numFmtId="184" formatCode="_-* #,##0_-;\-* #,##0_-;_-* &quot;-&quot;??_-;_-@_-"/>
    <numFmt numFmtId="185" formatCode="&quot;R$&quot;\ #,##0.00"/>
    <numFmt numFmtId="186" formatCode="0.0"/>
    <numFmt numFmtId="187" formatCode="0.00000"/>
    <numFmt numFmtId="188" formatCode="_-&quot;R$&quot;\ * #,##0.000_-;\-&quot;R$&quot;\ * #,##0.000_-;_-&quot;R$&quot;\ * &quot;-&quot;??_-;_-@_-"/>
    <numFmt numFmtId="189" formatCode="_-&quot;R$&quot;\ * #,##0.0000_-;\-&quot;R$&quot;\ * #,##0.0000_-;_-&quot;R$&quot;\ * &quot;-&quot;??_-;_-@_-"/>
    <numFmt numFmtId="190" formatCode="0.000"/>
    <numFmt numFmtId="191" formatCode="#,#00"/>
    <numFmt numFmtId="192" formatCode="General\ "/>
    <numFmt numFmtId="193" formatCode="&quot; R$ &quot;* #,##0.00\ ;&quot; R$ &quot;* \(#,##0.00\);&quot; R$ &quot;* \-#\ ;@\ "/>
    <numFmt numFmtId="194" formatCode="%#,#00"/>
    <numFmt numFmtId="195" formatCode="#.#####"/>
    <numFmt numFmtId="196" formatCode="#,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11"/>
      <name val="Switzerland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4"/>
      <name val="Calibri"/>
      <family val="2"/>
    </font>
    <font>
      <b/>
      <u val="single"/>
      <sz val="20"/>
      <name val="Arial"/>
      <family val="2"/>
    </font>
    <font>
      <b/>
      <sz val="15"/>
      <color indexed="56"/>
      <name val="Calibri"/>
      <family val="2"/>
    </font>
    <font>
      <b/>
      <u val="single"/>
      <sz val="14"/>
      <name val="Arial"/>
      <family val="2"/>
    </font>
    <font>
      <sz val="20"/>
      <name val="Arial"/>
      <family val="2"/>
    </font>
    <font>
      <sz val="1"/>
      <color indexed="8"/>
      <name val="Courier New"/>
      <family val="3"/>
    </font>
    <font>
      <sz val="10"/>
      <name val="Times New Roman"/>
      <family val="1"/>
    </font>
    <font>
      <sz val="12"/>
      <name val="Courier New"/>
      <family val="3"/>
    </font>
    <font>
      <b/>
      <sz val="15"/>
      <color indexed="48"/>
      <name val="Calibri"/>
      <family val="2"/>
    </font>
    <font>
      <b/>
      <sz val="1"/>
      <color indexed="8"/>
      <name val="Courier New"/>
      <family val="3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24" fillId="0" borderId="0">
      <alignment/>
      <protection locked="0"/>
    </xf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1" fontId="24" fillId="0" borderId="0">
      <alignment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26" fillId="0" borderId="0">
      <alignment/>
      <protection/>
    </xf>
    <xf numFmtId="193" fontId="26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194" fontId="24" fillId="0" borderId="0">
      <alignment/>
      <protection locked="0"/>
    </xf>
    <xf numFmtId="195" fontId="24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191" fontId="2" fillId="0" borderId="0" applyFill="0" applyBorder="0" applyAlignment="0" applyProtection="0"/>
    <xf numFmtId="185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1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  <xf numFmtId="196" fontId="28" fillId="0" borderId="0">
      <alignment/>
      <protection locked="0"/>
    </xf>
    <xf numFmtId="196" fontId="28" fillId="0" borderId="0">
      <alignment/>
      <protection locked="0"/>
    </xf>
    <xf numFmtId="0" fontId="79" fillId="0" borderId="10" applyNumberFormat="0" applyFill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9">
    <xf numFmtId="0" fontId="0" fillId="0" borderId="0" xfId="0" applyFont="1" applyAlignment="1">
      <alignment/>
    </xf>
    <xf numFmtId="0" fontId="3" fillId="0" borderId="0" xfId="85">
      <alignment/>
      <protection/>
    </xf>
    <xf numFmtId="0" fontId="3" fillId="0" borderId="0" xfId="85" applyBorder="1">
      <alignment/>
      <protection/>
    </xf>
    <xf numFmtId="4" fontId="3" fillId="0" borderId="0" xfId="85" applyNumberFormat="1">
      <alignment/>
      <protection/>
    </xf>
    <xf numFmtId="0" fontId="4" fillId="0" borderId="0" xfId="85" applyFont="1">
      <alignment/>
      <protection/>
    </xf>
    <xf numFmtId="0" fontId="5" fillId="0" borderId="11" xfId="89" applyFont="1" applyFill="1" applyBorder="1" applyAlignment="1">
      <alignment horizontal="center" vertical="center" wrapText="1"/>
      <protection/>
    </xf>
    <xf numFmtId="0" fontId="5" fillId="0" borderId="11" xfId="88" applyFont="1" applyFill="1" applyBorder="1" applyAlignment="1">
      <alignment vertical="top"/>
      <protection/>
    </xf>
    <xf numFmtId="0" fontId="6" fillId="0" borderId="11" xfId="88" applyFont="1" applyFill="1" applyBorder="1" applyAlignment="1">
      <alignment horizontal="left" vertical="top"/>
      <protection/>
    </xf>
    <xf numFmtId="10" fontId="6" fillId="0" borderId="11" xfId="100" applyNumberFormat="1" applyFont="1" applyFill="1" applyBorder="1" applyAlignment="1">
      <alignment/>
    </xf>
    <xf numFmtId="4" fontId="6" fillId="0" borderId="11" xfId="85" applyNumberFormat="1" applyFont="1" applyFill="1" applyBorder="1" applyAlignment="1">
      <alignment/>
      <protection/>
    </xf>
    <xf numFmtId="4" fontId="5" fillId="0" borderId="11" xfId="71" applyNumberFormat="1" applyFont="1" applyFill="1" applyBorder="1" applyAlignment="1">
      <alignment horizontal="right"/>
      <protection/>
    </xf>
    <xf numFmtId="0" fontId="7" fillId="0" borderId="11" xfId="88" applyFont="1" applyBorder="1" applyAlignment="1">
      <alignment vertical="top"/>
      <protection/>
    </xf>
    <xf numFmtId="0" fontId="7" fillId="0" borderId="11" xfId="88" applyFont="1" applyBorder="1" applyAlignment="1">
      <alignment horizontal="left" vertical="top"/>
      <protection/>
    </xf>
    <xf numFmtId="39" fontId="8" fillId="0" borderId="11" xfId="85" applyNumberFormat="1" applyFont="1" applyBorder="1" applyAlignment="1">
      <alignment/>
      <protection/>
    </xf>
    <xf numFmtId="4" fontId="5" fillId="0" borderId="11" xfId="71" applyNumberFormat="1" applyFont="1" applyBorder="1">
      <alignment/>
      <protection/>
    </xf>
    <xf numFmtId="10" fontId="8" fillId="0" borderId="11" xfId="100" applyNumberFormat="1" applyFont="1" applyBorder="1" applyAlignment="1" quotePrefix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80" fillId="33" borderId="13" xfId="88" applyNumberFormat="1" applyFont="1" applyFill="1" applyBorder="1" applyAlignment="1">
      <alignment horizontal="center"/>
      <protection/>
    </xf>
    <xf numFmtId="49" fontId="80" fillId="33" borderId="14" xfId="74" applyNumberFormat="1" applyFont="1" applyFill="1" applyBorder="1">
      <alignment/>
      <protection/>
    </xf>
    <xf numFmtId="0" fontId="19" fillId="0" borderId="0" xfId="0" applyFont="1" applyAlignment="1">
      <alignment/>
    </xf>
    <xf numFmtId="49" fontId="80" fillId="33" borderId="15" xfId="88" applyNumberFormat="1" applyFont="1" applyFill="1" applyBorder="1" applyAlignment="1">
      <alignment horizontal="center"/>
      <protection/>
    </xf>
    <xf numFmtId="49" fontId="80" fillId="33" borderId="0" xfId="74" applyNumberFormat="1" applyFont="1" applyFill="1" applyBorder="1">
      <alignment/>
      <protection/>
    </xf>
    <xf numFmtId="4" fontId="81" fillId="33" borderId="0" xfId="74" applyNumberFormat="1" applyFont="1" applyFill="1" applyBorder="1">
      <alignment/>
      <protection/>
    </xf>
    <xf numFmtId="4" fontId="81" fillId="33" borderId="0" xfId="89" applyNumberFormat="1" applyFont="1" applyFill="1" applyBorder="1" applyAlignment="1">
      <alignment horizontal="left"/>
      <protection/>
    </xf>
    <xf numFmtId="49" fontId="80" fillId="33" borderId="16" xfId="88" applyNumberFormat="1" applyFont="1" applyFill="1" applyBorder="1" applyAlignment="1">
      <alignment horizontal="center"/>
      <protection/>
    </xf>
    <xf numFmtId="49" fontId="80" fillId="33" borderId="17" xfId="89" applyNumberFormat="1" applyFont="1" applyFill="1" applyBorder="1" applyAlignment="1">
      <alignment horizontal="center"/>
      <protection/>
    </xf>
    <xf numFmtId="4" fontId="81" fillId="33" borderId="17" xfId="89" applyNumberFormat="1" applyFont="1" applyFill="1" applyBorder="1" applyAlignment="1">
      <alignment/>
      <protection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34" borderId="12" xfId="91" applyFont="1" applyFill="1" applyBorder="1" applyAlignment="1">
      <alignment horizontal="center"/>
      <protection/>
    </xf>
    <xf numFmtId="0" fontId="6" fillId="34" borderId="12" xfId="9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justify" vertical="justify" wrapText="1"/>
    </xf>
    <xf numFmtId="0" fontId="6" fillId="34" borderId="12" xfId="0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4" fontId="6" fillId="34" borderId="12" xfId="91" applyNumberFormat="1" applyFont="1" applyFill="1" applyBorder="1" applyAlignment="1">
      <alignment horizontal="center"/>
      <protection/>
    </xf>
    <xf numFmtId="44" fontId="6" fillId="34" borderId="13" xfId="64" applyFont="1" applyFill="1" applyBorder="1" applyAlignment="1">
      <alignment horizontal="right"/>
    </xf>
    <xf numFmtId="0" fontId="6" fillId="33" borderId="13" xfId="91" applyFont="1" applyFill="1" applyBorder="1" applyAlignment="1">
      <alignment horizontal="center"/>
      <protection/>
    </xf>
    <xf numFmtId="0" fontId="6" fillId="33" borderId="14" xfId="9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justify" vertical="justify" wrapText="1"/>
    </xf>
    <xf numFmtId="0" fontId="6" fillId="33" borderId="14" xfId="0" applyFont="1" applyFill="1" applyBorder="1" applyAlignment="1">
      <alignment horizontal="center" vertical="center"/>
    </xf>
    <xf numFmtId="171" fontId="6" fillId="33" borderId="14" xfId="0" applyNumberFormat="1" applyFont="1" applyFill="1" applyBorder="1" applyAlignment="1">
      <alignment horizontal="center" vertical="center"/>
    </xf>
    <xf numFmtId="4" fontId="6" fillId="33" borderId="14" xfId="91" applyNumberFormat="1" applyFont="1" applyFill="1" applyBorder="1" applyAlignment="1">
      <alignment horizontal="center"/>
      <protection/>
    </xf>
    <xf numFmtId="44" fontId="6" fillId="33" borderId="18" xfId="64" applyFont="1" applyFill="1" applyBorder="1" applyAlignment="1">
      <alignment horizontal="right"/>
    </xf>
    <xf numFmtId="0" fontId="6" fillId="33" borderId="15" xfId="91" applyFont="1" applyFill="1" applyBorder="1" applyAlignment="1">
      <alignment horizontal="center"/>
      <protection/>
    </xf>
    <xf numFmtId="0" fontId="6" fillId="33" borderId="0" xfId="91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justify" vertical="justify" wrapText="1"/>
    </xf>
    <xf numFmtId="0" fontId="6" fillId="33" borderId="0" xfId="0" applyFont="1" applyFill="1" applyBorder="1" applyAlignment="1">
      <alignment horizontal="center" vertical="center"/>
    </xf>
    <xf numFmtId="171" fontId="6" fillId="33" borderId="0" xfId="0" applyNumberFormat="1" applyFont="1" applyFill="1" applyBorder="1" applyAlignment="1">
      <alignment horizontal="center" vertical="center"/>
    </xf>
    <xf numFmtId="4" fontId="6" fillId="33" borderId="0" xfId="91" applyNumberFormat="1" applyFont="1" applyFill="1" applyBorder="1" applyAlignment="1">
      <alignment horizontal="center"/>
      <protection/>
    </xf>
    <xf numFmtId="44" fontId="6" fillId="33" borderId="19" xfId="64" applyFont="1" applyFill="1" applyBorder="1" applyAlignment="1">
      <alignment horizontal="right"/>
    </xf>
    <xf numFmtId="0" fontId="6" fillId="33" borderId="16" xfId="91" applyFont="1" applyFill="1" applyBorder="1" applyAlignment="1">
      <alignment horizontal="center"/>
      <protection/>
    </xf>
    <xf numFmtId="0" fontId="6" fillId="33" borderId="17" xfId="91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center" vertical="center"/>
    </xf>
    <xf numFmtId="171" fontId="6" fillId="33" borderId="17" xfId="0" applyNumberFormat="1" applyFont="1" applyFill="1" applyBorder="1" applyAlignment="1">
      <alignment horizontal="center" vertical="center"/>
    </xf>
    <xf numFmtId="4" fontId="6" fillId="33" borderId="17" xfId="91" applyNumberFormat="1" applyFont="1" applyFill="1" applyBorder="1" applyAlignment="1">
      <alignment horizontal="center"/>
      <protection/>
    </xf>
    <xf numFmtId="44" fontId="6" fillId="33" borderId="20" xfId="64" applyFont="1" applyFill="1" applyBorder="1" applyAlignment="1">
      <alignment horizontal="right"/>
    </xf>
    <xf numFmtId="0" fontId="6" fillId="34" borderId="21" xfId="91" applyFont="1" applyFill="1" applyBorder="1" applyAlignment="1">
      <alignment horizontal="center"/>
      <protection/>
    </xf>
    <xf numFmtId="0" fontId="6" fillId="34" borderId="21" xfId="91" applyFont="1" applyFill="1" applyBorder="1" applyAlignment="1">
      <alignment horizontal="center" vertical="center" wrapText="1"/>
      <protection/>
    </xf>
    <xf numFmtId="0" fontId="6" fillId="34" borderId="21" xfId="0" applyFont="1" applyFill="1" applyBorder="1" applyAlignment="1">
      <alignment horizontal="justify" vertical="justify" wrapText="1"/>
    </xf>
    <xf numFmtId="0" fontId="6" fillId="34" borderId="21" xfId="0" applyFont="1" applyFill="1" applyBorder="1" applyAlignment="1">
      <alignment horizontal="center" vertical="center"/>
    </xf>
    <xf numFmtId="171" fontId="6" fillId="34" borderId="21" xfId="0" applyNumberFormat="1" applyFont="1" applyFill="1" applyBorder="1" applyAlignment="1">
      <alignment horizontal="center" vertical="center"/>
    </xf>
    <xf numFmtId="4" fontId="6" fillId="34" borderId="21" xfId="91" applyNumberFormat="1" applyFont="1" applyFill="1" applyBorder="1" applyAlignment="1">
      <alignment horizontal="center"/>
      <protection/>
    </xf>
    <xf numFmtId="44" fontId="6" fillId="34" borderId="15" xfId="64" applyFont="1" applyFill="1" applyBorder="1" applyAlignment="1">
      <alignment horizontal="right"/>
    </xf>
    <xf numFmtId="44" fontId="6" fillId="34" borderId="21" xfId="64" applyFont="1" applyFill="1" applyBorder="1" applyAlignment="1">
      <alignment horizontal="right"/>
    </xf>
    <xf numFmtId="44" fontId="6" fillId="34" borderId="12" xfId="64" applyFont="1" applyFill="1" applyBorder="1" applyAlignment="1">
      <alignment horizontal="right"/>
    </xf>
    <xf numFmtId="44" fontId="5" fillId="33" borderId="19" xfId="64" applyFont="1" applyFill="1" applyBorder="1" applyAlignment="1">
      <alignment horizontal="right"/>
    </xf>
    <xf numFmtId="0" fontId="6" fillId="34" borderId="11" xfId="91" applyFont="1" applyFill="1" applyBorder="1" applyAlignment="1">
      <alignment horizontal="center"/>
      <protection/>
    </xf>
    <xf numFmtId="0" fontId="6" fillId="34" borderId="11" xfId="9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justify" vertical="justify" wrapText="1"/>
    </xf>
    <xf numFmtId="0" fontId="6" fillId="34" borderId="11" xfId="0" applyFont="1" applyFill="1" applyBorder="1" applyAlignment="1">
      <alignment horizontal="center" vertical="center"/>
    </xf>
    <xf numFmtId="171" fontId="6" fillId="34" borderId="11" xfId="0" applyNumberFormat="1" applyFont="1" applyFill="1" applyBorder="1" applyAlignment="1">
      <alignment horizontal="center" vertical="center"/>
    </xf>
    <xf numFmtId="4" fontId="6" fillId="34" borderId="11" xfId="91" applyNumberFormat="1" applyFont="1" applyFill="1" applyBorder="1" applyAlignment="1">
      <alignment horizontal="center"/>
      <protection/>
    </xf>
    <xf numFmtId="44" fontId="6" fillId="34" borderId="11" xfId="64" applyFont="1" applyFill="1" applyBorder="1" applyAlignment="1">
      <alignment horizontal="right"/>
    </xf>
    <xf numFmtId="4" fontId="5" fillId="33" borderId="0" xfId="91" applyNumberFormat="1" applyFont="1" applyFill="1" applyBorder="1" applyAlignment="1">
      <alignment horizontal="center"/>
      <protection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center" vertical="center"/>
    </xf>
    <xf numFmtId="44" fontId="5" fillId="33" borderId="16" xfId="64" applyFont="1" applyFill="1" applyBorder="1" applyAlignment="1">
      <alignment horizontal="center"/>
    </xf>
    <xf numFmtId="44" fontId="19" fillId="0" borderId="0" xfId="0" applyNumberFormat="1" applyFont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center" vertical="center"/>
    </xf>
    <xf numFmtId="44" fontId="5" fillId="33" borderId="11" xfId="64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44" fontId="5" fillId="33" borderId="23" xfId="64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/>
    </xf>
    <xf numFmtId="165" fontId="6" fillId="34" borderId="12" xfId="64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/>
    </xf>
    <xf numFmtId="165" fontId="6" fillId="33" borderId="14" xfId="64" applyNumberFormat="1" applyFont="1" applyFill="1" applyBorder="1" applyAlignment="1">
      <alignment horizontal="center" vertical="center" wrapText="1"/>
    </xf>
    <xf numFmtId="4" fontId="5" fillId="33" borderId="14" xfId="91" applyNumberFormat="1" applyFont="1" applyFill="1" applyBorder="1" applyAlignment="1">
      <alignment horizontal="center"/>
      <protection/>
    </xf>
    <xf numFmtId="49" fontId="6" fillId="33" borderId="15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165" fontId="6" fillId="33" borderId="0" xfId="64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/>
    </xf>
    <xf numFmtId="165" fontId="6" fillId="33" borderId="17" xfId="64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/>
    </xf>
    <xf numFmtId="165" fontId="6" fillId="34" borderId="11" xfId="64" applyNumberFormat="1" applyFont="1" applyFill="1" applyBorder="1" applyAlignment="1">
      <alignment horizontal="center" vertical="center" wrapText="1"/>
    </xf>
    <xf numFmtId="165" fontId="6" fillId="0" borderId="14" xfId="64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82" fillId="34" borderId="21" xfId="0" applyFont="1" applyFill="1" applyBorder="1" applyAlignment="1">
      <alignment horizontal="center" vertical="center"/>
    </xf>
    <xf numFmtId="165" fontId="6" fillId="34" borderId="21" xfId="64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center" vertical="center"/>
    </xf>
    <xf numFmtId="4" fontId="6" fillId="0" borderId="14" xfId="91" applyNumberFormat="1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justify" vertical="justify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justify" vertical="justify" wrapText="1"/>
    </xf>
    <xf numFmtId="44" fontId="19" fillId="0" borderId="0" xfId="64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44" fontId="19" fillId="0" borderId="0" xfId="64" applyFont="1" applyAlignment="1">
      <alignment horizontal="center"/>
    </xf>
    <xf numFmtId="44" fontId="6" fillId="33" borderId="0" xfId="64" applyFont="1" applyFill="1" applyBorder="1" applyAlignment="1">
      <alignment horizontal="right"/>
    </xf>
    <xf numFmtId="44" fontId="5" fillId="33" borderId="11" xfId="64" applyFont="1" applyFill="1" applyBorder="1" applyAlignment="1">
      <alignment horizontal="center"/>
    </xf>
    <xf numFmtId="4" fontId="83" fillId="33" borderId="0" xfId="74" applyNumberFormat="1" applyFont="1" applyFill="1" applyBorder="1" applyAlignment="1">
      <alignment horizontal="left" readingOrder="1"/>
      <protection/>
    </xf>
    <xf numFmtId="4" fontId="81" fillId="33" borderId="0" xfId="74" applyNumberFormat="1" applyFont="1" applyFill="1" applyBorder="1" applyAlignment="1">
      <alignment vertical="center" wrapText="1" readingOrder="1"/>
      <protection/>
    </xf>
    <xf numFmtId="4" fontId="80" fillId="33" borderId="13" xfId="89" applyNumberFormat="1" applyFont="1" applyFill="1" applyBorder="1" applyAlignment="1">
      <alignment horizontal="left" vertical="center"/>
      <protection/>
    </xf>
    <xf numFmtId="4" fontId="80" fillId="33" borderId="14" xfId="0" applyNumberFormat="1" applyFont="1" applyFill="1" applyBorder="1" applyAlignment="1">
      <alignment horizontal="left"/>
    </xf>
    <xf numFmtId="4" fontId="80" fillId="33" borderId="14" xfId="88" applyNumberFormat="1" applyFont="1" applyFill="1" applyBorder="1" applyAlignment="1">
      <alignment horizontal="left"/>
      <protection/>
    </xf>
    <xf numFmtId="4" fontId="80" fillId="33" borderId="18" xfId="88" applyNumberFormat="1" applyFont="1" applyFill="1" applyBorder="1" applyAlignment="1">
      <alignment horizontal="left"/>
      <protection/>
    </xf>
    <xf numFmtId="4" fontId="80" fillId="33" borderId="15" xfId="89" applyNumberFormat="1" applyFont="1" applyFill="1" applyBorder="1" applyAlignment="1">
      <alignment horizontal="left" vertical="center"/>
      <protection/>
    </xf>
    <xf numFmtId="4" fontId="80" fillId="33" borderId="0" xfId="88" applyNumberFormat="1" applyFont="1" applyFill="1" applyBorder="1" applyAlignment="1">
      <alignment horizontal="left"/>
      <protection/>
    </xf>
    <xf numFmtId="4" fontId="80" fillId="33" borderId="0" xfId="74" applyNumberFormat="1" applyFont="1" applyFill="1" applyBorder="1" applyAlignment="1">
      <alignment horizontal="left"/>
      <protection/>
    </xf>
    <xf numFmtId="4" fontId="80" fillId="33" borderId="19" xfId="74" applyNumberFormat="1" applyFont="1" applyFill="1" applyBorder="1" applyAlignment="1">
      <alignment horizontal="left"/>
      <protection/>
    </xf>
    <xf numFmtId="4" fontId="83" fillId="33" borderId="14" xfId="74" applyNumberFormat="1" applyFont="1" applyFill="1" applyBorder="1" applyAlignment="1">
      <alignment horizontal="left" readingOrder="1"/>
      <protection/>
    </xf>
    <xf numFmtId="39" fontId="6" fillId="0" borderId="0" xfId="85" applyNumberFormat="1" applyFont="1">
      <alignment/>
      <protection/>
    </xf>
    <xf numFmtId="0" fontId="6" fillId="0" borderId="0" xfId="85" applyFont="1">
      <alignment/>
      <protection/>
    </xf>
    <xf numFmtId="0" fontId="6" fillId="0" borderId="18" xfId="85" applyFont="1" applyBorder="1">
      <alignment/>
      <protection/>
    </xf>
    <xf numFmtId="0" fontId="6" fillId="0" borderId="19" xfId="85" applyFont="1" applyBorder="1">
      <alignment/>
      <protection/>
    </xf>
    <xf numFmtId="0" fontId="6" fillId="0" borderId="20" xfId="85" applyFont="1" applyBorder="1">
      <alignment/>
      <protection/>
    </xf>
    <xf numFmtId="0" fontId="5" fillId="0" borderId="11" xfId="85" applyFont="1" applyBorder="1" applyAlignment="1">
      <alignment horizontal="center"/>
      <protection/>
    </xf>
    <xf numFmtId="0" fontId="5" fillId="0" borderId="12" xfId="85" applyFont="1" applyBorder="1" applyAlignment="1">
      <alignment horizontal="center"/>
      <protection/>
    </xf>
    <xf numFmtId="0" fontId="5" fillId="0" borderId="18" xfId="85" applyFont="1" applyBorder="1" applyAlignment="1">
      <alignment horizontal="center"/>
      <protection/>
    </xf>
    <xf numFmtId="0" fontId="5" fillId="0" borderId="24" xfId="86" applyFont="1" applyFill="1" applyBorder="1" applyAlignment="1">
      <alignment vertical="top"/>
      <protection/>
    </xf>
    <xf numFmtId="39" fontId="6" fillId="0" borderId="24" xfId="85" applyNumberFormat="1" applyFont="1" applyBorder="1" applyAlignment="1">
      <alignment/>
      <protection/>
    </xf>
    <xf numFmtId="4" fontId="6" fillId="35" borderId="12" xfId="71" applyNumberFormat="1" applyFont="1" applyFill="1" applyBorder="1">
      <alignment/>
      <protection/>
    </xf>
    <xf numFmtId="0" fontId="6" fillId="35" borderId="21" xfId="71" applyFont="1" applyFill="1" applyBorder="1">
      <alignment/>
      <protection/>
    </xf>
    <xf numFmtId="166" fontId="5" fillId="35" borderId="21" xfId="100" applyNumberFormat="1" applyFont="1" applyFill="1" applyBorder="1" applyAlignment="1">
      <alignment horizontal="center"/>
    </xf>
    <xf numFmtId="0" fontId="6" fillId="35" borderId="22" xfId="85" applyFont="1" applyFill="1" applyBorder="1">
      <alignment/>
      <protection/>
    </xf>
    <xf numFmtId="0" fontId="5" fillId="33" borderId="0" xfId="0" applyFont="1" applyFill="1" applyBorder="1" applyAlignment="1">
      <alignment horizontal="justify" vertical="justify" wrapText="1"/>
    </xf>
    <xf numFmtId="165" fontId="6" fillId="0" borderId="0" xfId="64" applyNumberFormat="1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justify" wrapText="1"/>
    </xf>
    <xf numFmtId="0" fontId="8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91" applyNumberFormat="1" applyFont="1" applyFill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165" fontId="6" fillId="0" borderId="17" xfId="64" applyNumberFormat="1" applyFont="1" applyFill="1" applyBorder="1" applyAlignment="1">
      <alignment horizontal="center" vertical="center" wrapText="1"/>
    </xf>
    <xf numFmtId="44" fontId="6" fillId="0" borderId="18" xfId="64" applyFont="1" applyFill="1" applyBorder="1" applyAlignment="1">
      <alignment horizontal="right"/>
    </xf>
    <xf numFmtId="44" fontId="6" fillId="0" borderId="19" xfId="64" applyFont="1" applyFill="1" applyBorder="1" applyAlignment="1">
      <alignment horizontal="right"/>
    </xf>
    <xf numFmtId="0" fontId="84" fillId="0" borderId="0" xfId="0" applyFont="1" applyAlignment="1">
      <alignment textRotation="180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justify" vertical="justify" wrapText="1"/>
    </xf>
    <xf numFmtId="0" fontId="6" fillId="34" borderId="22" xfId="0" applyFont="1" applyFill="1" applyBorder="1" applyAlignment="1">
      <alignment horizontal="center" vertical="center"/>
    </xf>
    <xf numFmtId="4" fontId="6" fillId="34" borderId="22" xfId="91" applyNumberFormat="1" applyFont="1" applyFill="1" applyBorder="1" applyAlignment="1">
      <alignment horizontal="center"/>
      <protection/>
    </xf>
    <xf numFmtId="44" fontId="6" fillId="34" borderId="22" xfId="64" applyFont="1" applyFill="1" applyBorder="1" applyAlignment="1">
      <alignment horizontal="right"/>
    </xf>
    <xf numFmtId="49" fontId="6" fillId="34" borderId="22" xfId="0" applyNumberFormat="1" applyFont="1" applyFill="1" applyBorder="1" applyAlignment="1">
      <alignment horizontal="center" vertical="center" wrapText="1"/>
    </xf>
    <xf numFmtId="165" fontId="6" fillId="34" borderId="22" xfId="64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5" fillId="33" borderId="0" xfId="64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19" fillId="34" borderId="2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4" fontId="5" fillId="33" borderId="17" xfId="91" applyNumberFormat="1" applyFont="1" applyFill="1" applyBorder="1" applyAlignment="1">
      <alignment horizontal="center"/>
      <protection/>
    </xf>
    <xf numFmtId="0" fontId="82" fillId="34" borderId="12" xfId="0" applyFont="1" applyFill="1" applyBorder="1" applyAlignment="1">
      <alignment horizontal="center" vertical="justify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justify" vertical="justify" wrapText="1"/>
    </xf>
    <xf numFmtId="49" fontId="13" fillId="0" borderId="11" xfId="0" applyNumberFormat="1" applyFont="1" applyBorder="1" applyAlignment="1">
      <alignment horizontal="center" vertical="center" wrapText="1"/>
    </xf>
    <xf numFmtId="44" fontId="13" fillId="0" borderId="11" xfId="64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44" fontId="13" fillId="0" borderId="11" xfId="64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justify" vertical="justify" wrapText="1"/>
    </xf>
    <xf numFmtId="165" fontId="13" fillId="0" borderId="11" xfId="64" applyNumberFormat="1" applyFont="1" applyBorder="1" applyAlignment="1">
      <alignment horizontal="center" vertical="center" wrapText="1"/>
    </xf>
    <xf numFmtId="185" fontId="13" fillId="0" borderId="11" xfId="0" applyNumberFormat="1" applyFont="1" applyBorder="1" applyAlignment="1">
      <alignment horizontal="center"/>
    </xf>
    <xf numFmtId="44" fontId="12" fillId="0" borderId="11" xfId="64" applyFont="1" applyBorder="1" applyAlignment="1">
      <alignment horizontal="center" vertical="center" wrapText="1"/>
    </xf>
    <xf numFmtId="185" fontId="12" fillId="0" borderId="11" xfId="0" applyNumberFormat="1" applyFont="1" applyBorder="1" applyAlignment="1">
      <alignment horizontal="center"/>
    </xf>
    <xf numFmtId="44" fontId="12" fillId="0" borderId="11" xfId="64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19" fillId="0" borderId="11" xfId="64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justify" vertical="justify" wrapText="1"/>
    </xf>
    <xf numFmtId="44" fontId="12" fillId="0" borderId="22" xfId="64" applyFont="1" applyBorder="1" applyAlignment="1">
      <alignment horizontal="center" vertical="center" wrapText="1"/>
    </xf>
    <xf numFmtId="44" fontId="12" fillId="0" borderId="22" xfId="64" applyFont="1" applyBorder="1" applyAlignment="1">
      <alignment horizontal="center"/>
    </xf>
    <xf numFmtId="165" fontId="13" fillId="0" borderId="24" xfId="64" applyNumberFormat="1" applyFont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justify" wrapText="1"/>
    </xf>
    <xf numFmtId="0" fontId="19" fillId="34" borderId="12" xfId="0" applyFont="1" applyFill="1" applyBorder="1" applyAlignment="1">
      <alignment horizontal="center" vertical="justify" wrapText="1"/>
    </xf>
    <xf numFmtId="10" fontId="6" fillId="0" borderId="11" xfId="85" applyNumberFormat="1" applyFont="1" applyFill="1" applyBorder="1" applyAlignment="1">
      <alignment/>
      <protection/>
    </xf>
    <xf numFmtId="10" fontId="6" fillId="34" borderId="11" xfId="85" applyNumberFormat="1" applyFont="1" applyFill="1" applyBorder="1" applyAlignment="1">
      <alignment/>
      <protection/>
    </xf>
    <xf numFmtId="4" fontId="6" fillId="34" borderId="11" xfId="85" applyNumberFormat="1" applyFont="1" applyFill="1" applyBorder="1" applyAlignment="1">
      <alignment/>
      <protection/>
    </xf>
    <xf numFmtId="10" fontId="6" fillId="34" borderId="11" xfId="100" applyNumberFormat="1" applyFont="1" applyFill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justify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justify" vertical="justify" wrapText="1"/>
    </xf>
    <xf numFmtId="165" fontId="13" fillId="0" borderId="12" xfId="64" applyNumberFormat="1" applyFont="1" applyBorder="1" applyAlignment="1">
      <alignment horizontal="center" vertical="center" wrapText="1"/>
    </xf>
    <xf numFmtId="185" fontId="13" fillId="0" borderId="12" xfId="0" applyNumberFormat="1" applyFont="1" applyBorder="1" applyAlignment="1">
      <alignment horizontal="center"/>
    </xf>
    <xf numFmtId="190" fontId="19" fillId="0" borderId="0" xfId="0" applyNumberFormat="1" applyFont="1" applyAlignment="1">
      <alignment/>
    </xf>
    <xf numFmtId="49" fontId="86" fillId="0" borderId="11" xfId="0" applyNumberFormat="1" applyFont="1" applyBorder="1" applyAlignment="1">
      <alignment horizontal="justify" vertical="justify" wrapText="1"/>
    </xf>
    <xf numFmtId="0" fontId="1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82" fillId="34" borderId="21" xfId="0" applyFont="1" applyFill="1" applyBorder="1" applyAlignment="1">
      <alignment horizontal="center" vertical="justify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justify" vertical="justify" wrapText="1"/>
    </xf>
    <xf numFmtId="165" fontId="13" fillId="0" borderId="0" xfId="64" applyNumberFormat="1" applyFont="1" applyBorder="1" applyAlignment="1">
      <alignment horizontal="center" vertical="center" wrapText="1"/>
    </xf>
    <xf numFmtId="185" fontId="13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13" fillId="0" borderId="11" xfId="0" applyNumberFormat="1" applyFont="1" applyBorder="1" applyAlignment="1">
      <alignment horizontal="center"/>
    </xf>
    <xf numFmtId="4" fontId="81" fillId="33" borderId="19" xfId="89" applyNumberFormat="1" applyFont="1" applyFill="1" applyBorder="1" applyAlignment="1">
      <alignment horizontal="left" vertical="center"/>
      <protection/>
    </xf>
    <xf numFmtId="0" fontId="6" fillId="33" borderId="19" xfId="0" applyFont="1" applyFill="1" applyBorder="1" applyAlignment="1">
      <alignment horizontal="left" vertical="center" wrapText="1" readingOrder="1"/>
    </xf>
    <xf numFmtId="0" fontId="6" fillId="33" borderId="19" xfId="0" applyFont="1" applyFill="1" applyBorder="1" applyAlignment="1">
      <alignment horizontal="left" vertical="center" wrapText="1"/>
    </xf>
    <xf numFmtId="4" fontId="81" fillId="33" borderId="19" xfId="74" applyNumberFormat="1" applyFont="1" applyFill="1" applyBorder="1" applyAlignment="1">
      <alignment horizontal="left" vertical="center"/>
      <protection/>
    </xf>
    <xf numFmtId="0" fontId="6" fillId="33" borderId="20" xfId="89" applyFont="1" applyFill="1" applyBorder="1" applyAlignment="1">
      <alignment horizontal="left"/>
      <protection/>
    </xf>
    <xf numFmtId="49" fontId="12" fillId="0" borderId="25" xfId="0" applyNumberFormat="1" applyFont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justify" vertical="justify" wrapText="1"/>
    </xf>
    <xf numFmtId="4" fontId="17" fillId="33" borderId="11" xfId="0" applyNumberFormat="1" applyFont="1" applyFill="1" applyBorder="1" applyAlignment="1">
      <alignment horizontal="right" vertical="center"/>
    </xf>
    <xf numFmtId="4" fontId="17" fillId="33" borderId="11" xfId="0" applyNumberFormat="1" applyFont="1" applyFill="1" applyBorder="1" applyAlignment="1">
      <alignment horizontal="center" vertical="center"/>
    </xf>
    <xf numFmtId="0" fontId="16" fillId="33" borderId="11" xfId="91" applyFont="1" applyFill="1" applyBorder="1" applyAlignment="1">
      <alignment horizontal="center"/>
      <protection/>
    </xf>
    <xf numFmtId="0" fontId="16" fillId="33" borderId="15" xfId="91" applyFont="1" applyFill="1" applyBorder="1" applyAlignment="1">
      <alignment horizontal="center"/>
      <protection/>
    </xf>
    <xf numFmtId="0" fontId="16" fillId="33" borderId="0" xfId="0" applyFont="1" applyFill="1" applyBorder="1" applyAlignment="1">
      <alignment horizontal="justify" vertical="justify" wrapText="1"/>
    </xf>
    <xf numFmtId="0" fontId="87" fillId="0" borderId="0" xfId="0" applyFont="1" applyAlignment="1">
      <alignment textRotation="180"/>
    </xf>
    <xf numFmtId="0" fontId="88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89" fillId="33" borderId="15" xfId="0" applyFont="1" applyFill="1" applyBorder="1" applyAlignment="1">
      <alignment/>
    </xf>
    <xf numFmtId="0" fontId="89" fillId="33" borderId="0" xfId="0" applyFont="1" applyFill="1" applyBorder="1" applyAlignment="1">
      <alignment horizontal="justify" vertical="justify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justify" vertical="justify" wrapText="1"/>
    </xf>
    <xf numFmtId="171" fontId="16" fillId="33" borderId="0" xfId="0" applyNumberFormat="1" applyFont="1" applyFill="1" applyBorder="1" applyAlignment="1">
      <alignment horizontal="justify" vertical="justify" wrapText="1"/>
    </xf>
    <xf numFmtId="4" fontId="16" fillId="33" borderId="0" xfId="91" applyNumberFormat="1" applyFont="1" applyFill="1" applyBorder="1" applyAlignment="1">
      <alignment horizontal="justify" vertical="justify" wrapText="1"/>
      <protection/>
    </xf>
    <xf numFmtId="44" fontId="16" fillId="33" borderId="19" xfId="64" applyFont="1" applyFill="1" applyBorder="1" applyAlignment="1">
      <alignment horizontal="justify" vertical="justify" wrapText="1"/>
    </xf>
    <xf numFmtId="165" fontId="16" fillId="33" borderId="0" xfId="64" applyNumberFormat="1" applyFont="1" applyFill="1" applyBorder="1" applyAlignment="1">
      <alignment horizontal="justify" vertical="justify" wrapText="1"/>
    </xf>
    <xf numFmtId="44" fontId="17" fillId="33" borderId="11" xfId="64" applyFont="1" applyFill="1" applyBorder="1" applyAlignment="1">
      <alignment horizontal="justify" vertical="justify" wrapText="1"/>
    </xf>
    <xf numFmtId="4" fontId="17" fillId="33" borderId="0" xfId="91" applyNumberFormat="1" applyFont="1" applyFill="1" applyBorder="1" applyAlignment="1">
      <alignment horizontal="justify" vertical="justify" wrapText="1"/>
      <protection/>
    </xf>
    <xf numFmtId="0" fontId="89" fillId="33" borderId="19" xfId="0" applyFont="1" applyFill="1" applyBorder="1" applyAlignment="1">
      <alignment horizontal="justify" vertical="justify" wrapText="1"/>
    </xf>
    <xf numFmtId="165" fontId="16" fillId="33" borderId="17" xfId="64" applyNumberFormat="1" applyFont="1" applyFill="1" applyBorder="1" applyAlignment="1">
      <alignment horizontal="justify" vertical="justify" wrapText="1"/>
    </xf>
    <xf numFmtId="4" fontId="16" fillId="33" borderId="17" xfId="91" applyNumberFormat="1" applyFont="1" applyFill="1" applyBorder="1" applyAlignment="1">
      <alignment horizontal="justify" vertical="justify" wrapText="1"/>
      <protection/>
    </xf>
    <xf numFmtId="44" fontId="16" fillId="33" borderId="20" xfId="64" applyFont="1" applyFill="1" applyBorder="1" applyAlignment="1">
      <alignment horizontal="justify" vertical="justify" wrapText="1"/>
    </xf>
    <xf numFmtId="0" fontId="16" fillId="33" borderId="0" xfId="0" applyFont="1" applyFill="1" applyBorder="1" applyAlignment="1">
      <alignment horizontal="justify" vertical="justify" wrapText="1"/>
    </xf>
    <xf numFmtId="49" fontId="80" fillId="33" borderId="0" xfId="88" applyNumberFormat="1" applyFont="1" applyFill="1" applyBorder="1" applyAlignment="1">
      <alignment horizontal="center" vertical="center" wrapText="1"/>
      <protection/>
    </xf>
    <xf numFmtId="0" fontId="13" fillId="0" borderId="22" xfId="0" applyFont="1" applyBorder="1" applyAlignment="1">
      <alignment horizontal="left"/>
    </xf>
    <xf numFmtId="44" fontId="13" fillId="0" borderId="22" xfId="64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justify" vertical="justify" wrapText="1"/>
    </xf>
    <xf numFmtId="0" fontId="13" fillId="34" borderId="11" xfId="90" applyFont="1" applyFill="1" applyBorder="1" applyAlignment="1">
      <alignment horizontal="center" vertical="center"/>
      <protection/>
    </xf>
    <xf numFmtId="0" fontId="13" fillId="34" borderId="11" xfId="0" applyNumberFormat="1" applyFont="1" applyFill="1" applyBorder="1" applyAlignment="1">
      <alignment horizontal="center" vertical="justify" wrapText="1"/>
    </xf>
    <xf numFmtId="0" fontId="13" fillId="34" borderId="11" xfId="0" applyNumberFormat="1" applyFont="1" applyFill="1" applyBorder="1" applyAlignment="1">
      <alignment horizontal="justify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4" fontId="13" fillId="34" borderId="11" xfId="90" applyNumberFormat="1" applyFont="1" applyFill="1" applyBorder="1" applyAlignment="1">
      <alignment horizontal="center" vertical="center"/>
      <protection/>
    </xf>
    <xf numFmtId="4" fontId="13" fillId="34" borderId="11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/>
    </xf>
    <xf numFmtId="0" fontId="13" fillId="33" borderId="0" xfId="90" applyFont="1" applyFill="1" applyBorder="1" applyAlignment="1">
      <alignment horizontal="center"/>
      <protection/>
    </xf>
    <xf numFmtId="0" fontId="13" fillId="33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justify" wrapText="1"/>
    </xf>
    <xf numFmtId="2" fontId="13" fillId="33" borderId="0" xfId="0" applyNumberFormat="1" applyFont="1" applyFill="1" applyBorder="1" applyAlignment="1">
      <alignment horizontal="center" vertical="center" wrapText="1"/>
    </xf>
    <xf numFmtId="4" fontId="13" fillId="33" borderId="0" xfId="90" applyNumberFormat="1" applyFont="1" applyFill="1" applyBorder="1" applyAlignment="1">
      <alignment horizontal="center" vertical="center"/>
      <protection/>
    </xf>
    <xf numFmtId="4" fontId="13" fillId="33" borderId="0" xfId="0" applyNumberFormat="1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justify" vertical="justify" wrapText="1"/>
    </xf>
    <xf numFmtId="44" fontId="13" fillId="0" borderId="13" xfId="64" applyFont="1" applyBorder="1" applyAlignment="1">
      <alignment horizontal="center"/>
    </xf>
    <xf numFmtId="0" fontId="16" fillId="33" borderId="0" xfId="0" applyFont="1" applyFill="1" applyBorder="1" applyAlignment="1">
      <alignment horizontal="justify" vertical="justify" wrapText="1"/>
    </xf>
    <xf numFmtId="0" fontId="16" fillId="33" borderId="19" xfId="0" applyFont="1" applyFill="1" applyBorder="1" applyAlignment="1">
      <alignment horizontal="justify" vertical="justify" wrapText="1"/>
    </xf>
    <xf numFmtId="0" fontId="49" fillId="0" borderId="14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82" fillId="34" borderId="2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justify" wrapText="1"/>
    </xf>
    <xf numFmtId="0" fontId="6" fillId="0" borderId="17" xfId="0" applyFont="1" applyFill="1" applyBorder="1" applyAlignment="1">
      <alignment horizontal="center" vertical="center"/>
    </xf>
    <xf numFmtId="4" fontId="6" fillId="0" borderId="17" xfId="91" applyNumberFormat="1" applyFont="1" applyFill="1" applyBorder="1" applyAlignment="1">
      <alignment horizontal="center"/>
      <protection/>
    </xf>
    <xf numFmtId="44" fontId="6" fillId="0" borderId="20" xfId="64" applyFont="1" applyFill="1" applyBorder="1" applyAlignment="1">
      <alignment horizontal="right"/>
    </xf>
    <xf numFmtId="49" fontId="90" fillId="33" borderId="15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90" fillId="33" borderId="0" xfId="0" applyFont="1" applyFill="1" applyBorder="1" applyAlignment="1">
      <alignment horizontal="justify" vertical="justify" wrapText="1"/>
    </xf>
    <xf numFmtId="0" fontId="90" fillId="33" borderId="0" xfId="0" applyFont="1" applyFill="1" applyBorder="1" applyAlignment="1">
      <alignment horizontal="center" vertical="center"/>
    </xf>
    <xf numFmtId="165" fontId="90" fillId="33" borderId="0" xfId="64" applyNumberFormat="1" applyFont="1" applyFill="1" applyBorder="1" applyAlignment="1">
      <alignment horizontal="center" vertical="center" wrapText="1"/>
    </xf>
    <xf numFmtId="4" fontId="90" fillId="33" borderId="0" xfId="91" applyNumberFormat="1" applyFont="1" applyFill="1" applyBorder="1" applyAlignment="1">
      <alignment horizontal="center"/>
      <protection/>
    </xf>
    <xf numFmtId="49" fontId="90" fillId="33" borderId="11" xfId="0" applyNumberFormat="1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justify" vertical="justify" wrapText="1"/>
    </xf>
    <xf numFmtId="0" fontId="90" fillId="33" borderId="11" xfId="0" applyFont="1" applyFill="1" applyBorder="1" applyAlignment="1">
      <alignment horizontal="center" vertical="center"/>
    </xf>
    <xf numFmtId="44" fontId="90" fillId="33" borderId="19" xfId="64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190" fontId="16" fillId="0" borderId="0" xfId="0" applyNumberFormat="1" applyFont="1" applyAlignment="1">
      <alignment/>
    </xf>
    <xf numFmtId="0" fontId="18" fillId="33" borderId="0" xfId="0" applyFont="1" applyFill="1" applyBorder="1" applyAlignment="1">
      <alignment horizontal="justify" vertical="justify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justify" wrapText="1"/>
    </xf>
    <xf numFmtId="0" fontId="17" fillId="33" borderId="0" xfId="0" applyFont="1" applyFill="1" applyBorder="1" applyAlignment="1">
      <alignment horizontal="center" vertical="justify" wrapText="1"/>
    </xf>
    <xf numFmtId="0" fontId="17" fillId="33" borderId="19" xfId="0" applyFont="1" applyFill="1" applyBorder="1" applyAlignment="1">
      <alignment horizontal="center" vertical="justify" wrapText="1"/>
    </xf>
    <xf numFmtId="0" fontId="17" fillId="0" borderId="0" xfId="0" applyFont="1" applyBorder="1" applyAlignment="1">
      <alignment/>
    </xf>
    <xf numFmtId="0" fontId="18" fillId="33" borderId="0" xfId="0" applyFont="1" applyFill="1" applyBorder="1" applyAlignment="1">
      <alignment horizontal="center" vertical="justify" wrapText="1"/>
    </xf>
    <xf numFmtId="49" fontId="16" fillId="33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190" fontId="85" fillId="0" borderId="0" xfId="0" applyNumberFormat="1" applyFont="1" applyAlignment="1">
      <alignment/>
    </xf>
    <xf numFmtId="0" fontId="16" fillId="33" borderId="0" xfId="0" applyFont="1" applyFill="1" applyAlignment="1">
      <alignment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justify" vertical="justify"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/>
    </xf>
    <xf numFmtId="4" fontId="6" fillId="34" borderId="11" xfId="72" applyNumberFormat="1" applyFont="1" applyFill="1" applyBorder="1" applyAlignment="1">
      <alignment horizontal="right"/>
      <protection/>
    </xf>
    <xf numFmtId="0" fontId="92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wrapText="1"/>
    </xf>
    <xf numFmtId="0" fontId="6" fillId="0" borderId="15" xfId="92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92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justify" wrapText="1"/>
    </xf>
    <xf numFmtId="0" fontId="16" fillId="33" borderId="0" xfId="0" applyFont="1" applyFill="1" applyBorder="1" applyAlignment="1">
      <alignment horizontal="justify" vertical="justify" wrapText="1"/>
    </xf>
    <xf numFmtId="0" fontId="16" fillId="33" borderId="19" xfId="0" applyFont="1" applyFill="1" applyBorder="1" applyAlignment="1">
      <alignment horizontal="left" vertical="justify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11" xfId="0" applyFill="1" applyBorder="1" applyAlignment="1">
      <alignment horizontal="justify" vertical="justify" wrapText="1"/>
    </xf>
    <xf numFmtId="0" fontId="0" fillId="36" borderId="0" xfId="0" applyFill="1" applyAlignment="1">
      <alignment/>
    </xf>
    <xf numFmtId="49" fontId="13" fillId="36" borderId="11" xfId="0" applyNumberFormat="1" applyFont="1" applyFill="1" applyBorder="1" applyAlignment="1">
      <alignment horizontal="center" vertical="center" wrapText="1"/>
    </xf>
    <xf numFmtId="49" fontId="13" fillId="36" borderId="11" xfId="0" applyNumberFormat="1" applyFont="1" applyFill="1" applyBorder="1" applyAlignment="1">
      <alignment horizontal="justify" vertical="justify" wrapText="1"/>
    </xf>
    <xf numFmtId="165" fontId="13" fillId="36" borderId="11" xfId="64" applyNumberFormat="1" applyFont="1" applyFill="1" applyBorder="1" applyAlignment="1">
      <alignment horizontal="center" vertical="center" wrapText="1"/>
    </xf>
    <xf numFmtId="4" fontId="13" fillId="36" borderId="11" xfId="0" applyNumberFormat="1" applyFont="1" applyFill="1" applyBorder="1" applyAlignment="1">
      <alignment horizontal="center"/>
    </xf>
    <xf numFmtId="44" fontId="13" fillId="36" borderId="11" xfId="64" applyFont="1" applyFill="1" applyBorder="1" applyAlignment="1">
      <alignment horizontal="center"/>
    </xf>
    <xf numFmtId="0" fontId="13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0" fillId="36" borderId="11" xfId="0" applyNumberForma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justify" vertical="justify" wrapText="1"/>
    </xf>
    <xf numFmtId="0" fontId="16" fillId="33" borderId="0" xfId="0" applyFont="1" applyFill="1" applyBorder="1" applyAlignment="1">
      <alignment horizontal="left" vertical="justify" wrapText="1"/>
    </xf>
    <xf numFmtId="0" fontId="16" fillId="33" borderId="19" xfId="0" applyFont="1" applyFill="1" applyBorder="1" applyAlignment="1">
      <alignment horizontal="left" vertical="justify" wrapText="1"/>
    </xf>
    <xf numFmtId="0" fontId="16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justify" wrapText="1"/>
    </xf>
    <xf numFmtId="165" fontId="16" fillId="0" borderId="0" xfId="64" applyNumberFormat="1" applyFont="1" applyFill="1" applyBorder="1" applyAlignment="1">
      <alignment horizontal="justify" vertical="justify" wrapText="1"/>
    </xf>
    <xf numFmtId="4" fontId="17" fillId="0" borderId="0" xfId="91" applyNumberFormat="1" applyFont="1" applyFill="1" applyBorder="1" applyAlignment="1">
      <alignment horizontal="justify" vertical="justify" wrapText="1"/>
      <protection/>
    </xf>
    <xf numFmtId="44" fontId="16" fillId="0" borderId="19" xfId="64" applyFont="1" applyFill="1" applyBorder="1" applyAlignment="1">
      <alignment horizontal="justify" vertical="justify" wrapText="1"/>
    </xf>
    <xf numFmtId="0" fontId="16" fillId="0" borderId="19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justify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6" fillId="33" borderId="15" xfId="0" applyFont="1" applyFill="1" applyBorder="1" applyAlignment="1">
      <alignment horizontal="left" vertical="justify" wrapText="1"/>
    </xf>
    <xf numFmtId="0" fontId="16" fillId="33" borderId="0" xfId="0" applyFont="1" applyFill="1" applyBorder="1" applyAlignment="1">
      <alignment vertical="justify" wrapText="1"/>
    </xf>
    <xf numFmtId="0" fontId="16" fillId="33" borderId="19" xfId="0" applyFont="1" applyFill="1" applyBorder="1" applyAlignment="1">
      <alignment vertical="justify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justify" vertical="justify" wrapText="1"/>
    </xf>
    <xf numFmtId="165" fontId="16" fillId="33" borderId="14" xfId="64" applyNumberFormat="1" applyFont="1" applyFill="1" applyBorder="1" applyAlignment="1">
      <alignment horizontal="justify" vertical="justify" wrapText="1"/>
    </xf>
    <xf numFmtId="4" fontId="17" fillId="33" borderId="14" xfId="91" applyNumberFormat="1" applyFont="1" applyFill="1" applyBorder="1" applyAlignment="1">
      <alignment horizontal="justify" vertical="justify" wrapText="1"/>
      <protection/>
    </xf>
    <xf numFmtId="44" fontId="16" fillId="33" borderId="18" xfId="64" applyFont="1" applyFill="1" applyBorder="1" applyAlignment="1">
      <alignment horizontal="justify" vertical="justify" wrapText="1"/>
    </xf>
    <xf numFmtId="0" fontId="16" fillId="0" borderId="15" xfId="0" applyFont="1" applyBorder="1" applyAlignment="1">
      <alignment/>
    </xf>
    <xf numFmtId="4" fontId="17" fillId="33" borderId="17" xfId="91" applyNumberFormat="1" applyFont="1" applyFill="1" applyBorder="1" applyAlignment="1">
      <alignment horizontal="justify" vertical="justify" wrapText="1"/>
      <protection/>
    </xf>
    <xf numFmtId="0" fontId="17" fillId="33" borderId="0" xfId="0" applyFont="1" applyFill="1" applyBorder="1" applyAlignment="1">
      <alignment vertical="justify" wrapText="1"/>
    </xf>
    <xf numFmtId="0" fontId="17" fillId="33" borderId="15" xfId="0" applyFont="1" applyFill="1" applyBorder="1" applyAlignment="1">
      <alignment horizontal="left" vertical="justify" wrapText="1"/>
    </xf>
    <xf numFmtId="0" fontId="17" fillId="33" borderId="0" xfId="0" applyFont="1" applyFill="1" applyBorder="1" applyAlignment="1">
      <alignment horizontal="left" vertical="justify" wrapText="1"/>
    </xf>
    <xf numFmtId="0" fontId="17" fillId="33" borderId="19" xfId="0" applyFont="1" applyFill="1" applyBorder="1" applyAlignment="1">
      <alignment horizontal="left" vertical="justify" wrapText="1"/>
    </xf>
    <xf numFmtId="190" fontId="17" fillId="0" borderId="0" xfId="0" applyNumberFormat="1" applyFont="1" applyAlignment="1">
      <alignment/>
    </xf>
    <xf numFmtId="0" fontId="18" fillId="33" borderId="0" xfId="0" applyFont="1" applyFill="1" applyBorder="1" applyAlignment="1">
      <alignment horizontal="left" vertical="justify" wrapText="1"/>
    </xf>
    <xf numFmtId="0" fontId="16" fillId="0" borderId="15" xfId="0" applyFont="1" applyBorder="1" applyAlignment="1">
      <alignment horizontal="right"/>
    </xf>
    <xf numFmtId="0" fontId="16" fillId="33" borderId="15" xfId="0" applyFont="1" applyFill="1" applyBorder="1" applyAlignment="1">
      <alignment horizontal="right" vertical="justify" wrapText="1"/>
    </xf>
    <xf numFmtId="0" fontId="16" fillId="0" borderId="19" xfId="0" applyFont="1" applyFill="1" applyBorder="1" applyAlignment="1">
      <alignment horizontal="left" vertical="justify" wrapText="1"/>
    </xf>
    <xf numFmtId="2" fontId="16" fillId="0" borderId="0" xfId="0" applyNumberFormat="1" applyFont="1" applyFill="1" applyAlignment="1">
      <alignment/>
    </xf>
    <xf numFmtId="0" fontId="19" fillId="34" borderId="11" xfId="0" applyFont="1" applyFill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center"/>
    </xf>
    <xf numFmtId="165" fontId="6" fillId="33" borderId="11" xfId="64" applyNumberFormat="1" applyFont="1" applyFill="1" applyBorder="1" applyAlignment="1">
      <alignment horizontal="center" vertical="center" wrapText="1"/>
    </xf>
    <xf numFmtId="4" fontId="5" fillId="33" borderId="11" xfId="91" applyNumberFormat="1" applyFont="1" applyFill="1" applyBorder="1" applyAlignment="1">
      <alignment horizontal="center"/>
      <protection/>
    </xf>
    <xf numFmtId="44" fontId="6" fillId="33" borderId="11" xfId="64" applyFont="1" applyFill="1" applyBorder="1" applyAlignment="1">
      <alignment horizontal="right"/>
    </xf>
    <xf numFmtId="178" fontId="6" fillId="33" borderId="11" xfId="64" applyNumberFormat="1" applyFont="1" applyFill="1" applyBorder="1" applyAlignment="1">
      <alignment horizontal="center" vertical="center" wrapText="1"/>
    </xf>
    <xf numFmtId="4" fontId="6" fillId="33" borderId="11" xfId="91" applyNumberFormat="1" applyFont="1" applyFill="1" applyBorder="1" applyAlignment="1">
      <alignment horizontal="center"/>
      <protection/>
    </xf>
    <xf numFmtId="44" fontId="5" fillId="33" borderId="11" xfId="64" applyFont="1" applyFill="1" applyBorder="1" applyAlignment="1">
      <alignment horizontal="right"/>
    </xf>
    <xf numFmtId="178" fontId="6" fillId="33" borderId="0" xfId="64" applyNumberFormat="1" applyFont="1" applyFill="1" applyBorder="1" applyAlignment="1">
      <alignment horizontal="center" vertical="center" wrapText="1"/>
    </xf>
    <xf numFmtId="44" fontId="5" fillId="33" borderId="0" xfId="64" applyFont="1" applyFill="1" applyBorder="1" applyAlignment="1">
      <alignment horizontal="right"/>
    </xf>
    <xf numFmtId="0" fontId="19" fillId="34" borderId="21" xfId="0" applyFont="1" applyFill="1" applyBorder="1" applyAlignment="1">
      <alignment horizontal="center" vertical="justify" wrapText="1"/>
    </xf>
    <xf numFmtId="0" fontId="19" fillId="33" borderId="14" xfId="0" applyFont="1" applyFill="1" applyBorder="1" applyAlignment="1">
      <alignment horizontal="center" vertical="justify" wrapText="1"/>
    </xf>
    <xf numFmtId="0" fontId="49" fillId="33" borderId="0" xfId="0" applyFont="1" applyFill="1" applyBorder="1" applyAlignment="1">
      <alignment horizontal="center" vertical="justify" wrapText="1"/>
    </xf>
    <xf numFmtId="0" fontId="19" fillId="33" borderId="0" xfId="0" applyFont="1" applyFill="1" applyBorder="1" applyAlignment="1">
      <alignment horizontal="center" vertical="justify" wrapText="1"/>
    </xf>
    <xf numFmtId="0" fontId="19" fillId="33" borderId="17" xfId="0" applyFont="1" applyFill="1" applyBorder="1" applyAlignment="1">
      <alignment horizontal="center" vertical="justify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justify" wrapText="1"/>
    </xf>
    <xf numFmtId="0" fontId="90" fillId="33" borderId="11" xfId="0" applyFont="1" applyFill="1" applyBorder="1" applyAlignment="1">
      <alignment/>
    </xf>
    <xf numFmtId="44" fontId="84" fillId="33" borderId="11" xfId="64" applyFont="1" applyFill="1" applyBorder="1" applyAlignment="1">
      <alignment horizontal="center"/>
    </xf>
    <xf numFmtId="0" fontId="16" fillId="33" borderId="0" xfId="0" applyFont="1" applyFill="1" applyBorder="1" applyAlignment="1">
      <alignment horizontal="justify" vertical="justify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justify" vertical="justify" wrapText="1"/>
    </xf>
    <xf numFmtId="0" fontId="13" fillId="33" borderId="0" xfId="0" applyFont="1" applyFill="1" applyBorder="1" applyAlignment="1">
      <alignment horizontal="center" vertical="center"/>
    </xf>
    <xf numFmtId="165" fontId="13" fillId="0" borderId="0" xfId="64" applyNumberFormat="1" applyFont="1" applyFill="1" applyBorder="1" applyAlignment="1">
      <alignment horizontal="center" vertical="center" wrapText="1"/>
    </xf>
    <xf numFmtId="4" fontId="12" fillId="33" borderId="0" xfId="91" applyNumberFormat="1" applyFont="1" applyFill="1" applyBorder="1" applyAlignment="1">
      <alignment horizontal="center"/>
      <protection/>
    </xf>
    <xf numFmtId="44" fontId="13" fillId="33" borderId="19" xfId="64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" fontId="13" fillId="33" borderId="0" xfId="91" applyNumberFormat="1" applyFont="1" applyFill="1" applyBorder="1" applyAlignment="1">
      <alignment horizontal="center"/>
      <protection/>
    </xf>
    <xf numFmtId="44" fontId="12" fillId="33" borderId="19" xfId="64" applyFont="1" applyFill="1" applyBorder="1" applyAlignment="1">
      <alignment horizontal="right"/>
    </xf>
    <xf numFmtId="4" fontId="13" fillId="33" borderId="0" xfId="91" applyNumberFormat="1" applyFont="1" applyFill="1" applyBorder="1" applyAlignment="1">
      <alignment horizontal="center" vertical="center" wrapText="1"/>
      <protection/>
    </xf>
    <xf numFmtId="44" fontId="13" fillId="33" borderId="19" xfId="64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44" fontId="17" fillId="33" borderId="19" xfId="64" applyFont="1" applyFill="1" applyBorder="1" applyAlignment="1">
      <alignment horizontal="justify" vertical="justify" wrapText="1"/>
    </xf>
    <xf numFmtId="0" fontId="17" fillId="33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190" fontId="16" fillId="33" borderId="0" xfId="0" applyNumberFormat="1" applyFont="1" applyFill="1" applyAlignment="1">
      <alignment/>
    </xf>
    <xf numFmtId="0" fontId="16" fillId="33" borderId="15" xfId="0" applyFont="1" applyFill="1" applyBorder="1" applyAlignment="1">
      <alignment horizontal="right"/>
    </xf>
    <xf numFmtId="44" fontId="6" fillId="33" borderId="0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165" fontId="13" fillId="33" borderId="0" xfId="64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justify" vertical="justify" wrapText="1"/>
    </xf>
    <xf numFmtId="0" fontId="13" fillId="33" borderId="14" xfId="0" applyFont="1" applyFill="1" applyBorder="1" applyAlignment="1">
      <alignment horizontal="center" vertical="center"/>
    </xf>
    <xf numFmtId="44" fontId="13" fillId="33" borderId="18" xfId="64" applyFont="1" applyFill="1" applyBorder="1" applyAlignment="1">
      <alignment horizontal="right"/>
    </xf>
    <xf numFmtId="0" fontId="93" fillId="0" borderId="0" xfId="0" applyFont="1" applyAlignment="1">
      <alignment/>
    </xf>
    <xf numFmtId="0" fontId="93" fillId="0" borderId="0" xfId="0" applyFont="1" applyBorder="1" applyAlignment="1">
      <alignment horizontal="center" vertical="center"/>
    </xf>
    <xf numFmtId="4" fontId="13" fillId="33" borderId="0" xfId="92" applyNumberFormat="1" applyFont="1" applyFill="1" applyBorder="1" applyAlignment="1">
      <alignment horizontal="center"/>
      <protection/>
    </xf>
    <xf numFmtId="4" fontId="12" fillId="33" borderId="0" xfId="92" applyNumberFormat="1" applyFont="1" applyFill="1" applyBorder="1" applyAlignment="1">
      <alignment horizontal="center"/>
      <protection/>
    </xf>
    <xf numFmtId="49" fontId="13" fillId="33" borderId="16" xfId="0" applyNumberFormat="1" applyFont="1" applyFill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justify" vertical="justify" wrapText="1"/>
    </xf>
    <xf numFmtId="0" fontId="13" fillId="33" borderId="17" xfId="0" applyFont="1" applyFill="1" applyBorder="1" applyAlignment="1">
      <alignment horizontal="center" vertical="center"/>
    </xf>
    <xf numFmtId="165" fontId="13" fillId="33" borderId="17" xfId="64" applyNumberFormat="1" applyFont="1" applyFill="1" applyBorder="1" applyAlignment="1">
      <alignment horizontal="center" vertical="center" wrapText="1"/>
    </xf>
    <xf numFmtId="4" fontId="13" fillId="33" borderId="17" xfId="92" applyNumberFormat="1" applyFont="1" applyFill="1" applyBorder="1" applyAlignment="1">
      <alignment horizontal="center"/>
      <protection/>
    </xf>
    <xf numFmtId="44" fontId="12" fillId="33" borderId="20" xfId="64" applyFont="1" applyFill="1" applyBorder="1" applyAlignment="1">
      <alignment horizontal="right"/>
    </xf>
    <xf numFmtId="0" fontId="57" fillId="0" borderId="14" xfId="0" applyFont="1" applyBorder="1" applyAlignment="1">
      <alignment horizontal="center" vertical="center"/>
    </xf>
    <xf numFmtId="165" fontId="13" fillId="0" borderId="14" xfId="64" applyNumberFormat="1" applyFont="1" applyFill="1" applyBorder="1" applyAlignment="1">
      <alignment horizontal="center" vertical="center" wrapText="1"/>
    </xf>
    <xf numFmtId="4" fontId="12" fillId="33" borderId="14" xfId="91" applyNumberFormat="1" applyFont="1" applyFill="1" applyBorder="1" applyAlignment="1">
      <alignment horizontal="center"/>
      <protection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justify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justify" vertical="justify" wrapText="1"/>
    </xf>
    <xf numFmtId="165" fontId="13" fillId="34" borderId="11" xfId="64" applyNumberFormat="1" applyFont="1" applyFill="1" applyBorder="1" applyAlignment="1">
      <alignment horizontal="center" vertical="center" wrapText="1"/>
    </xf>
    <xf numFmtId="185" fontId="13" fillId="34" borderId="11" xfId="0" applyNumberFormat="1" applyFont="1" applyFill="1" applyBorder="1" applyAlignment="1">
      <alignment horizontal="center"/>
    </xf>
    <xf numFmtId="44" fontId="13" fillId="34" borderId="11" xfId="64" applyFont="1" applyFill="1" applyBorder="1" applyAlignment="1">
      <alignment horizontal="center"/>
    </xf>
    <xf numFmtId="0" fontId="13" fillId="34" borderId="0" xfId="0" applyFont="1" applyFill="1" applyAlignment="1">
      <alignment/>
    </xf>
    <xf numFmtId="190" fontId="19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49" fontId="12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6" fillId="33" borderId="15" xfId="0" applyFont="1" applyFill="1" applyBorder="1" applyAlignment="1">
      <alignment horizontal="center" vertical="justify" wrapText="1"/>
    </xf>
    <xf numFmtId="0" fontId="16" fillId="33" borderId="0" xfId="0" applyFont="1" applyFill="1" applyBorder="1" applyAlignment="1">
      <alignment horizontal="center" vertical="justify" wrapText="1"/>
    </xf>
    <xf numFmtId="0" fontId="16" fillId="33" borderId="19" xfId="0" applyFont="1" applyFill="1" applyBorder="1" applyAlignment="1">
      <alignment horizontal="center" vertical="justify" wrapText="1"/>
    </xf>
    <xf numFmtId="0" fontId="16" fillId="33" borderId="11" xfId="0" applyFont="1" applyFill="1" applyBorder="1" applyAlignment="1">
      <alignment horizontal="justify" vertical="justify" wrapText="1"/>
    </xf>
    <xf numFmtId="0" fontId="16" fillId="33" borderId="0" xfId="0" applyFont="1" applyFill="1" applyBorder="1" applyAlignment="1">
      <alignment horizontal="justify" vertical="justify" wrapText="1"/>
    </xf>
    <xf numFmtId="0" fontId="16" fillId="33" borderId="19" xfId="0" applyFont="1" applyFill="1" applyBorder="1" applyAlignment="1">
      <alignment horizontal="justify" vertical="justify" wrapText="1"/>
    </xf>
    <xf numFmtId="0" fontId="16" fillId="33" borderId="22" xfId="0" applyFont="1" applyFill="1" applyBorder="1" applyAlignment="1">
      <alignment horizontal="justify" vertical="justify" wrapText="1"/>
    </xf>
    <xf numFmtId="0" fontId="16" fillId="33" borderId="12" xfId="0" applyFont="1" applyFill="1" applyBorder="1" applyAlignment="1">
      <alignment horizontal="justify" vertical="justify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readingOrder="1"/>
    </xf>
    <xf numFmtId="0" fontId="6" fillId="33" borderId="0" xfId="0" applyFont="1" applyFill="1" applyBorder="1" applyAlignment="1">
      <alignment horizontal="left" vertical="center" wrapText="1" readingOrder="1"/>
    </xf>
    <xf numFmtId="0" fontId="6" fillId="33" borderId="19" xfId="0" applyFont="1" applyFill="1" applyBorder="1" applyAlignment="1">
      <alignment horizontal="left" vertical="center" wrapText="1" readingOrder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4" fontId="81" fillId="33" borderId="15" xfId="74" applyNumberFormat="1" applyFont="1" applyFill="1" applyBorder="1" applyAlignment="1">
      <alignment horizontal="left" vertical="center"/>
      <protection/>
    </xf>
    <xf numFmtId="4" fontId="81" fillId="33" borderId="0" xfId="74" applyNumberFormat="1" applyFont="1" applyFill="1" applyBorder="1" applyAlignment="1">
      <alignment horizontal="left" vertical="center"/>
      <protection/>
    </xf>
    <xf numFmtId="4" fontId="81" fillId="33" borderId="19" xfId="74" applyNumberFormat="1" applyFont="1" applyFill="1" applyBorder="1" applyAlignment="1">
      <alignment horizontal="left" vertical="center"/>
      <protection/>
    </xf>
    <xf numFmtId="0" fontId="6" fillId="33" borderId="16" xfId="89" applyFont="1" applyFill="1" applyBorder="1" applyAlignment="1">
      <alignment horizontal="left"/>
      <protection/>
    </xf>
    <xf numFmtId="0" fontId="6" fillId="33" borderId="17" xfId="89" applyFont="1" applyFill="1" applyBorder="1" applyAlignment="1">
      <alignment horizontal="left"/>
      <protection/>
    </xf>
    <xf numFmtId="0" fontId="6" fillId="33" borderId="20" xfId="89" applyFont="1" applyFill="1" applyBorder="1" applyAlignment="1">
      <alignment horizontal="left"/>
      <protection/>
    </xf>
    <xf numFmtId="4" fontId="81" fillId="33" borderId="15" xfId="89" applyNumberFormat="1" applyFont="1" applyFill="1" applyBorder="1" applyAlignment="1">
      <alignment horizontal="left" vertical="center"/>
      <protection/>
    </xf>
    <xf numFmtId="4" fontId="81" fillId="33" borderId="0" xfId="89" applyNumberFormat="1" applyFont="1" applyFill="1" applyBorder="1" applyAlignment="1">
      <alignment horizontal="left" vertical="center"/>
      <protection/>
    </xf>
    <xf numFmtId="0" fontId="17" fillId="33" borderId="11" xfId="0" applyFont="1" applyFill="1" applyBorder="1" applyAlignment="1">
      <alignment horizontal="justify" vertical="justify" wrapText="1"/>
    </xf>
    <xf numFmtId="49" fontId="83" fillId="33" borderId="12" xfId="88" applyNumberFormat="1" applyFont="1" applyFill="1" applyBorder="1" applyAlignment="1">
      <alignment horizontal="center" vertical="center" wrapText="1"/>
      <protection/>
    </xf>
    <xf numFmtId="0" fontId="18" fillId="33" borderId="15" xfId="0" applyFont="1" applyFill="1" applyBorder="1" applyAlignment="1">
      <alignment horizontal="left" vertical="justify" wrapText="1"/>
    </xf>
    <xf numFmtId="0" fontId="16" fillId="33" borderId="0" xfId="0" applyFont="1" applyFill="1" applyBorder="1" applyAlignment="1">
      <alignment horizontal="left" vertical="justify" wrapText="1"/>
    </xf>
    <xf numFmtId="0" fontId="16" fillId="33" borderId="19" xfId="0" applyFont="1" applyFill="1" applyBorder="1" applyAlignment="1">
      <alignment horizontal="left" vertical="justify" wrapText="1"/>
    </xf>
    <xf numFmtId="0" fontId="89" fillId="33" borderId="11" xfId="0" applyFont="1" applyFill="1" applyBorder="1" applyAlignment="1">
      <alignment horizontal="justify" vertical="justify" wrapText="1"/>
    </xf>
    <xf numFmtId="0" fontId="16" fillId="0" borderId="11" xfId="0" applyFont="1" applyFill="1" applyBorder="1" applyAlignment="1">
      <alignment horizontal="justify" vertical="justify" wrapText="1"/>
    </xf>
    <xf numFmtId="0" fontId="18" fillId="0" borderId="0" xfId="0" applyFont="1" applyFill="1" applyBorder="1" applyAlignment="1">
      <alignment horizontal="justify" vertical="justify" wrapText="1"/>
    </xf>
    <xf numFmtId="0" fontId="17" fillId="0" borderId="0" xfId="0" applyFont="1" applyFill="1" applyBorder="1" applyAlignment="1">
      <alignment horizontal="justify" vertical="justify" wrapText="1"/>
    </xf>
    <xf numFmtId="0" fontId="17" fillId="0" borderId="19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justify" vertical="justify" wrapText="1"/>
    </xf>
    <xf numFmtId="0" fontId="16" fillId="0" borderId="19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justify" wrapText="1"/>
    </xf>
    <xf numFmtId="0" fontId="16" fillId="0" borderId="19" xfId="0" applyFont="1" applyFill="1" applyBorder="1" applyAlignment="1">
      <alignment horizontal="left" vertical="justify" wrapText="1"/>
    </xf>
    <xf numFmtId="0" fontId="89" fillId="33" borderId="0" xfId="0" applyFont="1" applyFill="1" applyBorder="1" applyAlignment="1">
      <alignment horizontal="justify" vertical="justify" wrapText="1"/>
    </xf>
    <xf numFmtId="0" fontId="89" fillId="33" borderId="19" xfId="0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center" vertical="justify" wrapText="1"/>
    </xf>
    <xf numFmtId="0" fontId="5" fillId="34" borderId="11" xfId="0" applyFont="1" applyFill="1" applyBorder="1" applyAlignment="1">
      <alignment horizontal="center" vertical="justify" wrapText="1"/>
    </xf>
    <xf numFmtId="0" fontId="5" fillId="33" borderId="11" xfId="0" applyFont="1" applyFill="1" applyBorder="1" applyAlignment="1">
      <alignment horizontal="center"/>
    </xf>
    <xf numFmtId="49" fontId="80" fillId="33" borderId="11" xfId="88" applyNumberFormat="1" applyFont="1" applyFill="1" applyBorder="1" applyAlignment="1">
      <alignment horizontal="center" vertical="center" wrapText="1"/>
      <protection/>
    </xf>
    <xf numFmtId="0" fontId="81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49" fontId="80" fillId="33" borderId="23" xfId="88" applyNumberFormat="1" applyFont="1" applyFill="1" applyBorder="1" applyAlignment="1">
      <alignment horizontal="center" vertical="center" wrapText="1"/>
      <protection/>
    </xf>
    <xf numFmtId="49" fontId="80" fillId="33" borderId="24" xfId="88" applyNumberFormat="1" applyFont="1" applyFill="1" applyBorder="1" applyAlignment="1">
      <alignment horizontal="center" vertical="center" wrapText="1"/>
      <protection/>
    </xf>
    <xf numFmtId="49" fontId="80" fillId="33" borderId="17" xfId="88" applyNumberFormat="1" applyFont="1" applyFill="1" applyBorder="1" applyAlignment="1">
      <alignment horizontal="center" vertical="center" wrapText="1"/>
      <protection/>
    </xf>
    <xf numFmtId="49" fontId="12" fillId="0" borderId="23" xfId="0" applyNumberFormat="1" applyFont="1" applyBorder="1" applyAlignment="1">
      <alignment horizontal="center" vertical="justify" wrapText="1"/>
    </xf>
    <xf numFmtId="49" fontId="12" fillId="0" borderId="24" xfId="0" applyNumberFormat="1" applyFont="1" applyBorder="1" applyAlignment="1">
      <alignment horizontal="center" vertical="justify" wrapText="1"/>
    </xf>
    <xf numFmtId="49" fontId="12" fillId="0" borderId="25" xfId="0" applyNumberFormat="1" applyFont="1" applyBorder="1" applyAlignment="1">
      <alignment horizontal="center" vertical="justify" wrapText="1"/>
    </xf>
    <xf numFmtId="44" fontId="12" fillId="0" borderId="23" xfId="64" applyFont="1" applyBorder="1" applyAlignment="1">
      <alignment horizontal="center" vertical="center" wrapText="1"/>
    </xf>
    <xf numFmtId="44" fontId="12" fillId="0" borderId="24" xfId="64" applyFont="1" applyBorder="1" applyAlignment="1">
      <alignment horizontal="center" vertical="center" wrapText="1"/>
    </xf>
    <xf numFmtId="44" fontId="12" fillId="0" borderId="25" xfId="64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justify" wrapText="1"/>
    </xf>
    <xf numFmtId="0" fontId="5" fillId="0" borderId="21" xfId="0" applyFont="1" applyFill="1" applyBorder="1" applyAlignment="1">
      <alignment horizontal="center" vertical="justify" wrapText="1"/>
    </xf>
    <xf numFmtId="0" fontId="5" fillId="0" borderId="22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9" fontId="80" fillId="33" borderId="0" xfId="88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10" fontId="5" fillId="0" borderId="23" xfId="100" applyNumberFormat="1" applyFont="1" applyBorder="1" applyAlignment="1">
      <alignment horizontal="center"/>
    </xf>
    <xf numFmtId="10" fontId="5" fillId="0" borderId="25" xfId="100" applyNumberFormat="1" applyFont="1" applyBorder="1" applyAlignment="1">
      <alignment horizontal="center"/>
    </xf>
    <xf numFmtId="0" fontId="95" fillId="0" borderId="14" xfId="85" applyFont="1" applyBorder="1" applyAlignment="1">
      <alignment horizontal="center"/>
      <protection/>
    </xf>
    <xf numFmtId="0" fontId="4" fillId="0" borderId="14" xfId="85" applyFont="1" applyBorder="1" applyAlignment="1">
      <alignment horizontal="center"/>
      <protection/>
    </xf>
    <xf numFmtId="44" fontId="9" fillId="0" borderId="13" xfId="74" applyNumberFormat="1" applyFont="1" applyBorder="1" applyAlignment="1">
      <alignment horizontal="center" vertical="center" wrapText="1" readingOrder="1"/>
      <protection/>
    </xf>
    <xf numFmtId="44" fontId="9" fillId="0" borderId="14" xfId="74" applyNumberFormat="1" applyFont="1" applyBorder="1" applyAlignment="1">
      <alignment horizontal="center" vertical="center" wrapText="1" readingOrder="1"/>
      <protection/>
    </xf>
    <xf numFmtId="44" fontId="9" fillId="0" borderId="15" xfId="74" applyNumberFormat="1" applyFont="1" applyBorder="1" applyAlignment="1">
      <alignment horizontal="center" vertical="center" wrapText="1" readingOrder="1"/>
      <protection/>
    </xf>
    <xf numFmtId="44" fontId="9" fillId="0" borderId="0" xfId="74" applyNumberFormat="1" applyFont="1" applyBorder="1" applyAlignment="1">
      <alignment horizontal="center" vertical="center" wrapText="1" readingOrder="1"/>
      <protection/>
    </xf>
    <xf numFmtId="0" fontId="6" fillId="0" borderId="15" xfId="89" applyFont="1" applyFill="1" applyBorder="1" applyAlignment="1">
      <alignment horizontal="center"/>
      <protection/>
    </xf>
    <xf numFmtId="0" fontId="6" fillId="0" borderId="0" xfId="89" applyFont="1" applyFill="1" applyBorder="1" applyAlignment="1">
      <alignment horizontal="center"/>
      <protection/>
    </xf>
    <xf numFmtId="4" fontId="81" fillId="0" borderId="15" xfId="74" applyNumberFormat="1" applyFont="1" applyFill="1" applyBorder="1" applyAlignment="1">
      <alignment horizontal="center" vertical="center" wrapText="1"/>
      <protection/>
    </xf>
    <xf numFmtId="4" fontId="81" fillId="0" borderId="0" xfId="74" applyNumberFormat="1" applyFont="1" applyFill="1" applyBorder="1" applyAlignment="1">
      <alignment horizontal="center" vertical="center" wrapText="1"/>
      <protection/>
    </xf>
    <xf numFmtId="0" fontId="5" fillId="0" borderId="11" xfId="89" applyFont="1" applyFill="1" applyBorder="1" applyAlignment="1">
      <alignment horizontal="center" vertical="center" wrapText="1"/>
      <protection/>
    </xf>
    <xf numFmtId="4" fontId="81" fillId="0" borderId="16" xfId="89" applyNumberFormat="1" applyFont="1" applyFill="1" applyBorder="1" applyAlignment="1">
      <alignment horizontal="center" vertical="center" wrapText="1"/>
      <protection/>
    </xf>
    <xf numFmtId="4" fontId="81" fillId="0" borderId="17" xfId="89" applyNumberFormat="1" applyFont="1" applyFill="1" applyBorder="1" applyAlignment="1">
      <alignment horizontal="center" vertical="center" wrapText="1"/>
      <protection/>
    </xf>
    <xf numFmtId="39" fontId="5" fillId="0" borderId="23" xfId="85" applyNumberFormat="1" applyFont="1" applyBorder="1" applyAlignment="1">
      <alignment horizontal="center"/>
      <protection/>
    </xf>
    <xf numFmtId="39" fontId="5" fillId="0" borderId="25" xfId="85" applyNumberFormat="1" applyFont="1" applyBorder="1" applyAlignment="1">
      <alignment horizontal="center"/>
      <protection/>
    </xf>
    <xf numFmtId="4" fontId="81" fillId="0" borderId="15" xfId="74" applyNumberFormat="1" applyFont="1" applyFill="1" applyBorder="1" applyAlignment="1">
      <alignment horizontal="center" vertical="center" wrapText="1" readingOrder="1"/>
      <protection/>
    </xf>
    <xf numFmtId="4" fontId="81" fillId="0" borderId="0" xfId="74" applyNumberFormat="1" applyFont="1" applyFill="1" applyBorder="1" applyAlignment="1">
      <alignment horizontal="center" vertical="center" wrapText="1" readingOrder="1"/>
      <protection/>
    </xf>
    <xf numFmtId="0" fontId="5" fillId="0" borderId="23" xfId="85" applyFont="1" applyBorder="1" applyAlignment="1">
      <alignment horizontal="center"/>
      <protection/>
    </xf>
    <xf numFmtId="0" fontId="5" fillId="0" borderId="24" xfId="85" applyFont="1" applyBorder="1" applyAlignment="1">
      <alignment horizontal="center"/>
      <protection/>
    </xf>
    <xf numFmtId="0" fontId="5" fillId="0" borderId="12" xfId="85" applyFont="1" applyBorder="1" applyAlignment="1">
      <alignment horizontal="center" wrapText="1"/>
      <protection/>
    </xf>
    <xf numFmtId="0" fontId="5" fillId="0" borderId="21" xfId="85" applyFont="1" applyBorder="1" applyAlignment="1">
      <alignment horizontal="center" wrapText="1"/>
      <protection/>
    </xf>
    <xf numFmtId="0" fontId="5" fillId="0" borderId="22" xfId="85" applyFont="1" applyBorder="1" applyAlignment="1">
      <alignment horizontal="center" wrapText="1"/>
      <protection/>
    </xf>
    <xf numFmtId="0" fontId="5" fillId="0" borderId="11" xfId="86" applyFont="1" applyFill="1" applyBorder="1" applyAlignment="1">
      <alignment horizontal="center" vertical="top"/>
      <protection/>
    </xf>
    <xf numFmtId="4" fontId="81" fillId="0" borderId="15" xfId="89" applyNumberFormat="1" applyFont="1" applyFill="1" applyBorder="1" applyAlignment="1">
      <alignment horizontal="center" vertical="center" wrapText="1"/>
      <protection/>
    </xf>
    <xf numFmtId="4" fontId="81" fillId="0" borderId="0" xfId="89" applyNumberFormat="1" applyFont="1" applyFill="1" applyBorder="1" applyAlignment="1">
      <alignment horizontal="center" vertical="center" wrapText="1"/>
      <protection/>
    </xf>
    <xf numFmtId="1" fontId="5" fillId="0" borderId="23" xfId="85" applyNumberFormat="1" applyFont="1" applyBorder="1" applyAlignment="1">
      <alignment horizontal="left" vertical="top"/>
      <protection/>
    </xf>
    <xf numFmtId="1" fontId="5" fillId="0" borderId="25" xfId="85" applyNumberFormat="1" applyFont="1" applyBorder="1" applyAlignment="1">
      <alignment horizontal="left" vertical="top"/>
      <protection/>
    </xf>
    <xf numFmtId="4" fontId="5" fillId="0" borderId="23" xfId="87" applyNumberFormat="1" applyFont="1" applyBorder="1" applyAlignment="1">
      <alignment horizontal="center"/>
      <protection/>
    </xf>
    <xf numFmtId="4" fontId="5" fillId="0" borderId="25" xfId="87" applyNumberFormat="1" applyFont="1" applyBorder="1" applyAlignment="1">
      <alignment horizontal="center"/>
      <protection/>
    </xf>
    <xf numFmtId="0" fontId="5" fillId="0" borderId="25" xfId="85" applyFont="1" applyBorder="1" applyAlignment="1">
      <alignment horizontal="center"/>
      <protection/>
    </xf>
    <xf numFmtId="0" fontId="5" fillId="0" borderId="23" xfId="85" applyFont="1" applyBorder="1" applyAlignment="1">
      <alignment horizontal="left" vertical="top"/>
      <protection/>
    </xf>
    <xf numFmtId="0" fontId="5" fillId="0" borderId="25" xfId="85" applyFont="1" applyBorder="1" applyAlignment="1">
      <alignment horizontal="left" vertical="top"/>
      <protection/>
    </xf>
  </cellXfs>
  <cellStyles count="11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Hyperlink" xfId="61"/>
    <cellStyle name="Followed Hyperlink" xfId="62"/>
    <cellStyle name="Incorreto" xfId="63"/>
    <cellStyle name="Currency" xfId="64"/>
    <cellStyle name="Currency [0]" xfId="65"/>
    <cellStyle name="Moeda 2" xfId="66"/>
    <cellStyle name="Moeda 3" xfId="67"/>
    <cellStyle name="Neutra" xfId="68"/>
    <cellStyle name="Normal 10" xfId="69"/>
    <cellStyle name="Normal 11" xfId="70"/>
    <cellStyle name="Normal 2" xfId="71"/>
    <cellStyle name="Normal 2 2" xfId="72"/>
    <cellStyle name="Normal 2 2 2" xfId="73"/>
    <cellStyle name="Normal 2 3" xfId="74"/>
    <cellStyle name="Normal 3" xfId="75"/>
    <cellStyle name="Normal 3 2" xfId="76"/>
    <cellStyle name="Normal 4" xfId="77"/>
    <cellStyle name="Normal 5" xfId="78"/>
    <cellStyle name="Normal 6" xfId="79"/>
    <cellStyle name="Normal 7" xfId="80"/>
    <cellStyle name="Normal 8" xfId="81"/>
    <cellStyle name="Normal 8 2" xfId="82"/>
    <cellStyle name="Normal 9" xfId="83"/>
    <cellStyle name="Normal 9 2" xfId="84"/>
    <cellStyle name="Normal_CRONOGRAMA" xfId="85"/>
    <cellStyle name="Normal_CRUZEI~1" xfId="86"/>
    <cellStyle name="Normal_Orçamento nº057-2003- Esc. Munic. AMPARO revisão" xfId="87"/>
    <cellStyle name="Normal_P_Getulio Vargas" xfId="88"/>
    <cellStyle name="Normal_P_Getulio Vargas 2" xfId="89"/>
    <cellStyle name="Normal_RUAS 3,4,7 e 8 R-1" xfId="90"/>
    <cellStyle name="Normal_RUAS 3,4,7 e 8 R-1 2" xfId="91"/>
    <cellStyle name="Normal_RUAS 3,4,7 e 8 R-1 2 2" xfId="92"/>
    <cellStyle name="Nota" xfId="93"/>
    <cellStyle name="Nota 2" xfId="94"/>
    <cellStyle name="Nota 3" xfId="95"/>
    <cellStyle name="Nota 4" xfId="96"/>
    <cellStyle name="Percentual" xfId="97"/>
    <cellStyle name="Ponto" xfId="98"/>
    <cellStyle name="Percent" xfId="99"/>
    <cellStyle name="Porcentagem 2" xfId="100"/>
    <cellStyle name="Porcentagem 3" xfId="101"/>
    <cellStyle name="Saída" xfId="102"/>
    <cellStyle name="Comma [0]" xfId="103"/>
    <cellStyle name="Separador de milhares 15" xfId="104"/>
    <cellStyle name="Separador de milhares 2" xfId="105"/>
    <cellStyle name="TableStyleLight1" xfId="106"/>
    <cellStyle name="Texto de Aviso" xfId="107"/>
    <cellStyle name="Texto Explicativo" xfId="108"/>
    <cellStyle name="Título" xfId="109"/>
    <cellStyle name="Título 1" xfId="110"/>
    <cellStyle name="Título 1 1" xfId="111"/>
    <cellStyle name="Título 1 1 1" xfId="112"/>
    <cellStyle name="Título 1 1_PLAN   (2)" xfId="113"/>
    <cellStyle name="Título 2" xfId="114"/>
    <cellStyle name="Título 3" xfId="115"/>
    <cellStyle name="Título 4" xfId="116"/>
    <cellStyle name="Titulo1" xfId="117"/>
    <cellStyle name="Titulo2" xfId="118"/>
    <cellStyle name="Total" xfId="119"/>
    <cellStyle name="Comma" xfId="120"/>
    <cellStyle name="Vírgula 2" xfId="121"/>
    <cellStyle name="Vírgula 2 2" xfId="122"/>
    <cellStyle name="Vírgula 3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228600</xdr:rowOff>
    </xdr:from>
    <xdr:to>
      <xdr:col>5</xdr:col>
      <xdr:colOff>1628775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228600"/>
          <a:ext cx="1304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266700</xdr:rowOff>
    </xdr:from>
    <xdr:to>
      <xdr:col>1</xdr:col>
      <xdr:colOff>1209675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2238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257175</xdr:rowOff>
    </xdr:from>
    <xdr:to>
      <xdr:col>1</xdr:col>
      <xdr:colOff>1266825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2105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228600</xdr:rowOff>
    </xdr:from>
    <xdr:to>
      <xdr:col>1</xdr:col>
      <xdr:colOff>1181100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2095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266700</xdr:rowOff>
    </xdr:from>
    <xdr:to>
      <xdr:col>1</xdr:col>
      <xdr:colOff>1209675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2238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171450</xdr:rowOff>
    </xdr:from>
    <xdr:to>
      <xdr:col>10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762000"/>
          <a:ext cx="20764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esktop\Revis&#227;o%20JAN-18_Or&#231;amento%20ATI%20Vila%20Br&#237;gida%20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421875" style="0" customWidth="1"/>
    <col min="4" max="4" width="64.00390625" style="0" customWidth="1"/>
    <col min="7" max="7" width="12.00390625" style="0" bestFit="1" customWidth="1"/>
    <col min="8" max="8" width="15.140625" style="0" bestFit="1" customWidth="1"/>
  </cols>
  <sheetData>
    <row r="2" spans="2:8" ht="15">
      <c r="B2" s="473" t="s">
        <v>616</v>
      </c>
      <c r="C2" s="473" t="s">
        <v>614</v>
      </c>
      <c r="D2" s="473" t="s">
        <v>607</v>
      </c>
      <c r="E2" s="473" t="s">
        <v>608</v>
      </c>
      <c r="F2" s="473" t="s">
        <v>622</v>
      </c>
      <c r="G2" s="473"/>
      <c r="H2" s="473"/>
    </row>
    <row r="3" spans="2:8" ht="15">
      <c r="B3" s="473"/>
      <c r="C3" s="473"/>
      <c r="D3" s="473"/>
      <c r="E3" s="473"/>
      <c r="F3" s="219" t="s">
        <v>607</v>
      </c>
      <c r="G3" s="219" t="s">
        <v>608</v>
      </c>
      <c r="H3" s="219" t="s">
        <v>613</v>
      </c>
    </row>
    <row r="4" spans="2:8" ht="15">
      <c r="B4" s="219" t="s">
        <v>617</v>
      </c>
      <c r="C4" s="219" t="s">
        <v>615</v>
      </c>
      <c r="D4" s="219" t="s">
        <v>609</v>
      </c>
      <c r="E4" s="219" t="s">
        <v>609</v>
      </c>
      <c r="F4" s="219" t="s">
        <v>610</v>
      </c>
      <c r="G4" s="219" t="s">
        <v>610</v>
      </c>
      <c r="H4" s="219" t="s">
        <v>610</v>
      </c>
    </row>
    <row r="5" spans="2:8" ht="15">
      <c r="B5" s="219" t="s">
        <v>611</v>
      </c>
      <c r="C5" s="219">
        <f>145.04/941.82</f>
        <v>0.15399970270327662</v>
      </c>
      <c r="D5" s="219">
        <f>436.8*1.1</f>
        <v>480.4800000000001</v>
      </c>
      <c r="E5" s="219">
        <f>419.4*1.1</f>
        <v>461.34000000000003</v>
      </c>
      <c r="F5" s="219">
        <f>D5*C5</f>
        <v>73.99377715487036</v>
      </c>
      <c r="G5" s="219">
        <f>E5*C5</f>
        <v>71.04622284512963</v>
      </c>
      <c r="H5" s="219">
        <f>F5+G5</f>
        <v>145.04</v>
      </c>
    </row>
    <row r="6" spans="2:8" ht="15">
      <c r="B6" s="219" t="s">
        <v>612</v>
      </c>
      <c r="C6" s="219">
        <f>509.68/826.06</f>
        <v>0.6170011863545022</v>
      </c>
      <c r="D6" s="219">
        <f>372.48*1.1</f>
        <v>409.72800000000007</v>
      </c>
      <c r="E6" s="219">
        <f>(121.72*2+67.52*2)*1.1</f>
        <v>416.32800000000003</v>
      </c>
      <c r="F6" s="219">
        <f>D6*C6</f>
        <v>252.80266208265752</v>
      </c>
      <c r="G6" s="219">
        <f>E6*C6</f>
        <v>256.8748699125972</v>
      </c>
      <c r="H6" s="219">
        <f>F6+G6</f>
        <v>509.67753199525475</v>
      </c>
    </row>
    <row r="7" spans="2:8" s="226" customFormat="1" ht="15">
      <c r="B7" s="225"/>
      <c r="C7" s="225"/>
      <c r="D7" s="225"/>
      <c r="E7" s="225"/>
      <c r="F7" s="225"/>
      <c r="G7" s="225"/>
      <c r="H7" s="225"/>
    </row>
    <row r="8" spans="2:8" s="226" customFormat="1" ht="15">
      <c r="B8" s="225"/>
      <c r="C8" s="225"/>
      <c r="D8" s="225"/>
      <c r="E8" s="225"/>
      <c r="F8" s="225"/>
      <c r="G8" s="225"/>
      <c r="H8" s="225"/>
    </row>
    <row r="9" spans="2:9" s="349" customFormat="1" ht="45">
      <c r="B9" s="346" t="s">
        <v>31</v>
      </c>
      <c r="C9" s="345" t="s">
        <v>314</v>
      </c>
      <c r="D9" s="348" t="s">
        <v>375</v>
      </c>
      <c r="E9" s="345" t="s">
        <v>203</v>
      </c>
      <c r="F9" s="345">
        <v>487.42</v>
      </c>
      <c r="G9" s="346">
        <f>F9*0.1</f>
        <v>48.742000000000004</v>
      </c>
      <c r="H9" s="345" t="s">
        <v>631</v>
      </c>
      <c r="I9" s="347" t="s">
        <v>310</v>
      </c>
    </row>
    <row r="10" spans="2:10" s="21" customFormat="1" ht="18.75">
      <c r="B10" s="185" t="s">
        <v>32</v>
      </c>
      <c r="C10" s="185" t="s">
        <v>197</v>
      </c>
      <c r="D10" s="190" t="s">
        <v>625</v>
      </c>
      <c r="E10" s="185" t="s">
        <v>64</v>
      </c>
      <c r="F10" s="191">
        <v>302.63</v>
      </c>
      <c r="G10" s="227">
        <f>F10*0.15*0.3*2.3</f>
        <v>31.322204999999997</v>
      </c>
      <c r="H10" s="188" t="s">
        <v>632</v>
      </c>
      <c r="I10" s="189" t="s">
        <v>633</v>
      </c>
      <c r="J10" s="21">
        <f>G10/7.5</f>
        <v>4.1762939999999995</v>
      </c>
    </row>
    <row r="11" spans="2:9" s="356" customFormat="1" ht="18.75">
      <c r="B11" s="350" t="s">
        <v>33</v>
      </c>
      <c r="C11" s="350" t="s">
        <v>202</v>
      </c>
      <c r="D11" s="351" t="s">
        <v>626</v>
      </c>
      <c r="E11" s="350" t="s">
        <v>0</v>
      </c>
      <c r="F11" s="352">
        <v>4</v>
      </c>
      <c r="G11" s="353">
        <f>F11*0.17325</f>
        <v>0.693</v>
      </c>
      <c r="H11" s="354" t="s">
        <v>631</v>
      </c>
      <c r="I11" s="355" t="s">
        <v>310</v>
      </c>
    </row>
    <row r="12" spans="2:9" s="21" customFormat="1" ht="18.75">
      <c r="B12" s="185" t="s">
        <v>34</v>
      </c>
      <c r="C12" s="185" t="s">
        <v>275</v>
      </c>
      <c r="D12" s="190" t="s">
        <v>334</v>
      </c>
      <c r="E12" s="185" t="s">
        <v>0</v>
      </c>
      <c r="F12" s="191">
        <v>8</v>
      </c>
      <c r="G12" s="227"/>
      <c r="H12" s="188" t="s">
        <v>632</v>
      </c>
      <c r="I12" s="189"/>
    </row>
    <row r="13" spans="2:9" s="21" customFormat="1" ht="18.75">
      <c r="B13" s="185" t="s">
        <v>132</v>
      </c>
      <c r="C13" s="185" t="s">
        <v>276</v>
      </c>
      <c r="D13" s="190" t="s">
        <v>335</v>
      </c>
      <c r="E13" s="185" t="s">
        <v>0</v>
      </c>
      <c r="F13" s="191">
        <v>4</v>
      </c>
      <c r="G13" s="227"/>
      <c r="H13" s="188" t="s">
        <v>632</v>
      </c>
      <c r="I13" s="189"/>
    </row>
    <row r="14" spans="2:9" s="356" customFormat="1" ht="18.75">
      <c r="B14" s="350" t="s">
        <v>316</v>
      </c>
      <c r="C14" s="350" t="s">
        <v>396</v>
      </c>
      <c r="D14" s="351" t="s">
        <v>397</v>
      </c>
      <c r="E14" s="350" t="s">
        <v>47</v>
      </c>
      <c r="F14" s="352">
        <v>26.19</v>
      </c>
      <c r="G14" s="353">
        <f>F14*0.1</f>
        <v>2.619</v>
      </c>
      <c r="H14" s="354" t="s">
        <v>631</v>
      </c>
      <c r="I14" s="355" t="s">
        <v>310</v>
      </c>
    </row>
    <row r="15" spans="2:9" s="349" customFormat="1" ht="30">
      <c r="B15" s="350" t="s">
        <v>628</v>
      </c>
      <c r="C15" s="345" t="s">
        <v>629</v>
      </c>
      <c r="D15" s="348" t="s">
        <v>630</v>
      </c>
      <c r="E15" s="345" t="s">
        <v>47</v>
      </c>
      <c r="F15" s="345">
        <v>46.46</v>
      </c>
      <c r="G15" s="357">
        <f>F15*0.06*2</f>
        <v>5.5752</v>
      </c>
      <c r="H15" s="345" t="s">
        <v>631</v>
      </c>
      <c r="I15" s="355" t="s">
        <v>310</v>
      </c>
    </row>
    <row r="16" spans="2:9" s="349" customFormat="1" ht="30">
      <c r="B16" s="350" t="s">
        <v>894</v>
      </c>
      <c r="C16" s="345"/>
      <c r="D16" s="345" t="s">
        <v>895</v>
      </c>
      <c r="E16" s="345" t="s">
        <v>310</v>
      </c>
      <c r="F16" s="345">
        <v>4.88</v>
      </c>
      <c r="G16" s="345"/>
      <c r="H16" s="345" t="s">
        <v>631</v>
      </c>
      <c r="I16" s="355" t="s">
        <v>310</v>
      </c>
    </row>
    <row r="17" spans="2:9" s="349" customFormat="1" ht="15.75">
      <c r="B17" s="345"/>
      <c r="C17" s="345"/>
      <c r="D17" s="351" t="s">
        <v>896</v>
      </c>
      <c r="E17" s="345" t="s">
        <v>310</v>
      </c>
      <c r="F17" s="345">
        <v>7.35</v>
      </c>
      <c r="G17" s="345"/>
      <c r="H17" s="345" t="s">
        <v>631</v>
      </c>
      <c r="I17" s="355" t="s">
        <v>310</v>
      </c>
    </row>
  </sheetData>
  <sheetProtection/>
  <mergeCells count="5">
    <mergeCell ref="F2:H2"/>
    <mergeCell ref="B2:B3"/>
    <mergeCell ref="C2:C3"/>
    <mergeCell ref="D2:D3"/>
    <mergeCell ref="E2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4.7109375" style="0" customWidth="1"/>
    <col min="2" max="2" width="19.8515625" style="0" bestFit="1" customWidth="1"/>
    <col min="3" max="3" width="77.8515625" style="0" bestFit="1" customWidth="1"/>
    <col min="4" max="4" width="15.57421875" style="0" bestFit="1" customWidth="1"/>
    <col min="5" max="5" width="26.28125" style="0" bestFit="1" customWidth="1"/>
    <col min="6" max="7" width="19.8515625" style="0" bestFit="1" customWidth="1"/>
  </cols>
  <sheetData>
    <row r="1" spans="1:7" ht="21">
      <c r="A1" s="479" t="s">
        <v>1028</v>
      </c>
      <c r="B1" s="479"/>
      <c r="C1" s="479"/>
      <c r="D1" s="479"/>
      <c r="E1" s="479"/>
      <c r="F1" s="479"/>
      <c r="G1" s="479"/>
    </row>
    <row r="3" spans="1:7" ht="15">
      <c r="A3" s="477" t="s">
        <v>972</v>
      </c>
      <c r="B3" s="477"/>
      <c r="C3" s="435" t="s">
        <v>973</v>
      </c>
      <c r="D3" s="435" t="s">
        <v>974</v>
      </c>
      <c r="E3" s="435" t="s">
        <v>975</v>
      </c>
      <c r="F3" s="477" t="s">
        <v>976</v>
      </c>
      <c r="G3" s="477"/>
    </row>
    <row r="4" spans="1:7" ht="50.25" customHeight="1">
      <c r="A4" s="477" t="s">
        <v>984</v>
      </c>
      <c r="B4" s="477"/>
      <c r="C4" s="436" t="s">
        <v>985</v>
      </c>
      <c r="D4" s="435" t="s">
        <v>974</v>
      </c>
      <c r="E4" s="437">
        <v>43405</v>
      </c>
      <c r="F4" s="478">
        <f>G9</f>
        <v>642.08</v>
      </c>
      <c r="G4" s="477"/>
    </row>
    <row r="5" spans="1:7" ht="22.5" customHeight="1">
      <c r="A5" s="435"/>
      <c r="B5" s="435" t="s">
        <v>977</v>
      </c>
      <c r="C5" s="435" t="s">
        <v>978</v>
      </c>
      <c r="D5" s="435" t="s">
        <v>979</v>
      </c>
      <c r="E5" s="435" t="s">
        <v>980</v>
      </c>
      <c r="F5" s="435" t="s">
        <v>981</v>
      </c>
      <c r="G5" s="435" t="s">
        <v>982</v>
      </c>
    </row>
    <row r="6" spans="1:7" ht="22.5" customHeight="1">
      <c r="A6" s="435"/>
      <c r="B6" s="435" t="s">
        <v>986</v>
      </c>
      <c r="C6" s="435" t="s">
        <v>987</v>
      </c>
      <c r="D6" s="435" t="s">
        <v>988</v>
      </c>
      <c r="E6" s="435" t="s">
        <v>989</v>
      </c>
      <c r="F6" s="438">
        <v>43509</v>
      </c>
      <c r="G6" s="441">
        <f>749+(141.05/4)</f>
        <v>784.2625</v>
      </c>
    </row>
    <row r="7" spans="1:7" ht="22.5" customHeight="1">
      <c r="A7" s="435"/>
      <c r="B7" s="435" t="s">
        <v>990</v>
      </c>
      <c r="C7" s="435" t="s">
        <v>991</v>
      </c>
      <c r="D7" s="435" t="s">
        <v>992</v>
      </c>
      <c r="E7" s="435" t="s">
        <v>989</v>
      </c>
      <c r="F7" s="438">
        <v>43509</v>
      </c>
      <c r="G7" s="439">
        <v>642.08</v>
      </c>
    </row>
    <row r="8" spans="1:7" ht="22.5" customHeight="1">
      <c r="A8" s="435"/>
      <c r="B8" s="435" t="s">
        <v>993</v>
      </c>
      <c r="C8" s="435" t="s">
        <v>994</v>
      </c>
      <c r="D8" s="435" t="s">
        <v>995</v>
      </c>
      <c r="E8" s="435" t="s">
        <v>989</v>
      </c>
      <c r="F8" s="438">
        <v>43509</v>
      </c>
      <c r="G8" s="439">
        <v>599</v>
      </c>
    </row>
    <row r="9" spans="1:7" ht="22.5" customHeight="1">
      <c r="A9" s="474"/>
      <c r="B9" s="475"/>
      <c r="C9" s="475"/>
      <c r="D9" s="476"/>
      <c r="E9" s="435" t="s">
        <v>983</v>
      </c>
      <c r="F9" s="435"/>
      <c r="G9" s="440">
        <f>MEDIAN(G6:G8)</f>
        <v>642.08</v>
      </c>
    </row>
  </sheetData>
  <sheetProtection/>
  <mergeCells count="6">
    <mergeCell ref="A9:D9"/>
    <mergeCell ref="A3:B3"/>
    <mergeCell ref="F3:G3"/>
    <mergeCell ref="A4:B4"/>
    <mergeCell ref="F4:G4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  <headerFooter>
    <oddFooter>&amp;L&amp;A&amp;CPágina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H345"/>
  <sheetViews>
    <sheetView view="pageBreakPreview" zoomScale="70" zoomScaleSheetLayoutView="70" zoomScalePageLayoutView="0" workbookViewId="0" topLeftCell="A115">
      <selection activeCell="C4" sqref="C4:F4"/>
    </sheetView>
  </sheetViews>
  <sheetFormatPr defaultColWidth="9.140625" defaultRowHeight="15"/>
  <cols>
    <col min="1" max="1" width="17.8515625" style="120" customWidth="1"/>
    <col min="2" max="2" width="102.421875" style="121" customWidth="1"/>
    <col min="3" max="3" width="18.00390625" style="120" customWidth="1"/>
    <col min="4" max="4" width="26.8515625" style="122" customWidth="1"/>
    <col min="5" max="5" width="27.8515625" style="123" customWidth="1"/>
    <col min="6" max="6" width="29.00390625" style="124" customWidth="1"/>
    <col min="7" max="7" width="13.8515625" style="21" bestFit="1" customWidth="1"/>
    <col min="8" max="8" width="19.57421875" style="21" bestFit="1" customWidth="1"/>
    <col min="9" max="16384" width="9.140625" style="21" customWidth="1"/>
  </cols>
  <sheetData>
    <row r="1" spans="1:6" ht="23.25">
      <c r="A1" s="19"/>
      <c r="B1" s="137" t="s">
        <v>38</v>
      </c>
      <c r="C1" s="129"/>
      <c r="D1" s="130"/>
      <c r="E1" s="131"/>
      <c r="F1" s="132"/>
    </row>
    <row r="2" spans="1:6" ht="23.25">
      <c r="A2" s="22"/>
      <c r="B2" s="127" t="s">
        <v>39</v>
      </c>
      <c r="C2" s="133"/>
      <c r="D2" s="134"/>
      <c r="E2" s="135"/>
      <c r="F2" s="136"/>
    </row>
    <row r="3" spans="1:7" ht="23.25">
      <c r="A3" s="22"/>
      <c r="B3" s="127" t="s">
        <v>40</v>
      </c>
      <c r="C3" s="509" t="s">
        <v>1029</v>
      </c>
      <c r="D3" s="510"/>
      <c r="E3" s="510"/>
      <c r="F3" s="510"/>
      <c r="G3" s="510"/>
    </row>
    <row r="4" spans="1:6" ht="18.75" customHeight="1">
      <c r="A4" s="22"/>
      <c r="B4" s="128" t="s">
        <v>857</v>
      </c>
      <c r="C4" s="497" t="s">
        <v>1037</v>
      </c>
      <c r="D4" s="498"/>
      <c r="E4" s="498"/>
      <c r="F4" s="499"/>
    </row>
    <row r="5" spans="1:6" ht="18.75" customHeight="1">
      <c r="A5" s="22"/>
      <c r="B5" s="128" t="s">
        <v>191</v>
      </c>
      <c r="C5" s="500" t="s">
        <v>192</v>
      </c>
      <c r="D5" s="501"/>
      <c r="E5" s="501"/>
      <c r="F5" s="502"/>
    </row>
    <row r="6" spans="1:6" ht="18.75">
      <c r="A6" s="22"/>
      <c r="B6" s="24" t="s">
        <v>742</v>
      </c>
      <c r="C6" s="503" t="s">
        <v>193</v>
      </c>
      <c r="D6" s="504"/>
      <c r="E6" s="504"/>
      <c r="F6" s="505"/>
    </row>
    <row r="7" spans="1:6" ht="18.75">
      <c r="A7" s="22"/>
      <c r="B7" s="25" t="s">
        <v>606</v>
      </c>
      <c r="C7" s="503" t="s">
        <v>86</v>
      </c>
      <c r="D7" s="504"/>
      <c r="E7" s="504"/>
      <c r="F7" s="505"/>
    </row>
    <row r="8" spans="1:6" ht="18.75">
      <c r="A8" s="26"/>
      <c r="B8" s="28"/>
      <c r="C8" s="506" t="s">
        <v>743</v>
      </c>
      <c r="D8" s="507"/>
      <c r="E8" s="507"/>
      <c r="F8" s="508"/>
    </row>
    <row r="9" spans="1:6" s="234" customFormat="1" ht="18.75" customHeight="1">
      <c r="A9" s="512" t="s">
        <v>639</v>
      </c>
      <c r="B9" s="512"/>
      <c r="C9" s="512"/>
      <c r="D9" s="512"/>
      <c r="E9" s="512"/>
      <c r="F9" s="512"/>
    </row>
    <row r="10" spans="1:6" s="234" customFormat="1" ht="23.25">
      <c r="A10" s="235" t="s">
        <v>16</v>
      </c>
      <c r="B10" s="236" t="s">
        <v>59</v>
      </c>
      <c r="C10" s="235"/>
      <c r="D10" s="237"/>
      <c r="E10" s="235"/>
      <c r="F10" s="238"/>
    </row>
    <row r="11" spans="1:6" s="234" customFormat="1" ht="36" customHeight="1">
      <c r="A11" s="239" t="s">
        <v>21</v>
      </c>
      <c r="B11" s="483" t="s">
        <v>327</v>
      </c>
      <c r="C11" s="483"/>
      <c r="D11" s="483"/>
      <c r="E11" s="483"/>
      <c r="F11" s="483"/>
    </row>
    <row r="12" spans="1:6" s="234" customFormat="1" ht="23.25">
      <c r="A12" s="240"/>
      <c r="B12" s="241"/>
      <c r="C12" s="241"/>
      <c r="D12" s="252"/>
      <c r="E12" s="253"/>
      <c r="F12" s="254"/>
    </row>
    <row r="13" spans="1:6" s="234" customFormat="1" ht="23.25">
      <c r="A13" s="240"/>
      <c r="B13" s="241" t="s">
        <v>640</v>
      </c>
      <c r="C13" s="241"/>
      <c r="D13" s="252"/>
      <c r="E13" s="253"/>
      <c r="F13" s="254"/>
    </row>
    <row r="14" spans="1:6" s="234" customFormat="1" ht="23.25">
      <c r="A14" s="240"/>
      <c r="B14" s="241"/>
      <c r="C14" s="241"/>
      <c r="D14" s="252"/>
      <c r="E14" s="253"/>
      <c r="F14" s="254"/>
    </row>
    <row r="15" spans="1:8" s="234" customFormat="1" ht="23.25">
      <c r="A15" s="239" t="s">
        <v>22</v>
      </c>
      <c r="B15" s="483" t="s">
        <v>686</v>
      </c>
      <c r="C15" s="516"/>
      <c r="D15" s="516"/>
      <c r="E15" s="516"/>
      <c r="F15" s="516"/>
      <c r="H15" s="242"/>
    </row>
    <row r="16" spans="1:8" s="234" customFormat="1" ht="23.25">
      <c r="A16" s="240"/>
      <c r="B16" s="241"/>
      <c r="C16" s="241"/>
      <c r="D16" s="252"/>
      <c r="E16" s="253"/>
      <c r="F16" s="254"/>
      <c r="H16" s="242"/>
    </row>
    <row r="17" spans="1:8" s="234" customFormat="1" ht="23.25">
      <c r="A17" s="240"/>
      <c r="B17" s="241" t="s">
        <v>641</v>
      </c>
      <c r="C17" s="241"/>
      <c r="D17" s="252"/>
      <c r="E17" s="253"/>
      <c r="F17" s="254"/>
      <c r="H17" s="242"/>
    </row>
    <row r="18" spans="1:8" s="234" customFormat="1" ht="23.25">
      <c r="A18" s="240"/>
      <c r="B18" s="241"/>
      <c r="C18" s="241"/>
      <c r="D18" s="252"/>
      <c r="E18" s="253"/>
      <c r="F18" s="254"/>
      <c r="H18" s="242"/>
    </row>
    <row r="19" spans="1:6" s="234" customFormat="1" ht="23.25">
      <c r="A19" s="239" t="s">
        <v>23</v>
      </c>
      <c r="B19" s="483" t="s">
        <v>687</v>
      </c>
      <c r="C19" s="483"/>
      <c r="D19" s="483"/>
      <c r="E19" s="483"/>
      <c r="F19" s="483"/>
    </row>
    <row r="20" spans="1:6" s="234" customFormat="1" ht="23.25">
      <c r="A20" s="240"/>
      <c r="B20" s="241" t="s">
        <v>642</v>
      </c>
      <c r="C20" s="241"/>
      <c r="D20" s="252"/>
      <c r="E20" s="253"/>
      <c r="F20" s="254"/>
    </row>
    <row r="21" spans="1:6" s="234" customFormat="1" ht="23.25">
      <c r="A21" s="240"/>
      <c r="B21" s="241"/>
      <c r="C21" s="241"/>
      <c r="D21" s="252"/>
      <c r="E21" s="253"/>
      <c r="F21" s="254"/>
    </row>
    <row r="22" spans="1:6" s="234" customFormat="1" ht="46.5" customHeight="1">
      <c r="A22" s="239" t="s">
        <v>24</v>
      </c>
      <c r="B22" s="483" t="s">
        <v>688</v>
      </c>
      <c r="C22" s="483"/>
      <c r="D22" s="483"/>
      <c r="E22" s="483"/>
      <c r="F22" s="483"/>
    </row>
    <row r="23" spans="1:6" s="234" customFormat="1" ht="23.25">
      <c r="A23" s="240"/>
      <c r="B23" s="241"/>
      <c r="C23" s="241"/>
      <c r="D23" s="252"/>
      <c r="E23" s="253"/>
      <c r="F23" s="254"/>
    </row>
    <row r="24" spans="1:6" s="234" customFormat="1" ht="23.25">
      <c r="A24" s="240"/>
      <c r="B24" s="241" t="s">
        <v>643</v>
      </c>
      <c r="C24" s="241"/>
      <c r="D24" s="252"/>
      <c r="E24" s="253"/>
      <c r="F24" s="254"/>
    </row>
    <row r="25" spans="1:6" s="234" customFormat="1" ht="23.25">
      <c r="A25" s="240"/>
      <c r="B25" s="241"/>
      <c r="C25" s="241"/>
      <c r="D25" s="252"/>
      <c r="E25" s="253"/>
      <c r="F25" s="254"/>
    </row>
    <row r="26" spans="1:6" s="234" customFormat="1" ht="23.25">
      <c r="A26" s="239" t="s">
        <v>25</v>
      </c>
      <c r="B26" s="483" t="s">
        <v>689</v>
      </c>
      <c r="C26" s="483"/>
      <c r="D26" s="483"/>
      <c r="E26" s="483"/>
      <c r="F26" s="483"/>
    </row>
    <row r="27" spans="1:6" s="234" customFormat="1" ht="23.25">
      <c r="A27" s="240"/>
      <c r="B27" s="241"/>
      <c r="C27" s="241"/>
      <c r="D27" s="252"/>
      <c r="E27" s="253"/>
      <c r="F27" s="254"/>
    </row>
    <row r="28" spans="1:6" s="234" customFormat="1" ht="23.25">
      <c r="A28" s="240"/>
      <c r="B28" s="241" t="s">
        <v>644</v>
      </c>
      <c r="C28" s="241"/>
      <c r="D28" s="252"/>
      <c r="E28" s="253"/>
      <c r="F28" s="254"/>
    </row>
    <row r="29" spans="1:6" s="234" customFormat="1" ht="23.25">
      <c r="A29" s="240"/>
      <c r="B29" s="241"/>
      <c r="C29" s="241"/>
      <c r="D29" s="252"/>
      <c r="E29" s="253"/>
      <c r="F29" s="254"/>
    </row>
    <row r="30" spans="1:6" s="234" customFormat="1" ht="23.25">
      <c r="A30" s="239" t="s">
        <v>26</v>
      </c>
      <c r="B30" s="483" t="s">
        <v>690</v>
      </c>
      <c r="C30" s="483"/>
      <c r="D30" s="483"/>
      <c r="E30" s="483"/>
      <c r="F30" s="483"/>
    </row>
    <row r="31" spans="1:6" s="234" customFormat="1" ht="23.25">
      <c r="A31" s="240"/>
      <c r="B31" s="241"/>
      <c r="C31" s="241"/>
      <c r="D31" s="252"/>
      <c r="E31" s="253"/>
      <c r="F31" s="254"/>
    </row>
    <row r="32" spans="1:6" s="234" customFormat="1" ht="23.25">
      <c r="A32" s="240"/>
      <c r="B32" s="241" t="s">
        <v>644</v>
      </c>
      <c r="C32" s="241"/>
      <c r="D32" s="252"/>
      <c r="E32" s="253"/>
      <c r="F32" s="254"/>
    </row>
    <row r="33" spans="1:6" s="234" customFormat="1" ht="23.25">
      <c r="A33" s="240"/>
      <c r="B33" s="241"/>
      <c r="C33" s="241"/>
      <c r="D33" s="252"/>
      <c r="E33" s="253"/>
      <c r="F33" s="254"/>
    </row>
    <row r="34" spans="1:6" s="234" customFormat="1" ht="23.25">
      <c r="A34" s="239" t="s">
        <v>31</v>
      </c>
      <c r="B34" s="483" t="s">
        <v>691</v>
      </c>
      <c r="C34" s="483"/>
      <c r="D34" s="483"/>
      <c r="E34" s="483"/>
      <c r="F34" s="483"/>
    </row>
    <row r="35" spans="1:7" s="234" customFormat="1" ht="23.25">
      <c r="A35" s="240"/>
      <c r="B35" s="241"/>
      <c r="C35" s="241"/>
      <c r="D35" s="252"/>
      <c r="E35" s="253"/>
      <c r="F35" s="254"/>
      <c r="G35" s="305"/>
    </row>
    <row r="36" spans="1:7" s="234" customFormat="1" ht="23.25">
      <c r="A36" s="480" t="s">
        <v>850</v>
      </c>
      <c r="B36" s="481"/>
      <c r="C36" s="481"/>
      <c r="D36" s="481"/>
      <c r="E36" s="481"/>
      <c r="F36" s="482"/>
      <c r="G36" s="305"/>
    </row>
    <row r="37" spans="1:7" s="234" customFormat="1" ht="23.25">
      <c r="A37" s="513" t="s">
        <v>851</v>
      </c>
      <c r="B37" s="514"/>
      <c r="C37" s="514"/>
      <c r="D37" s="514"/>
      <c r="E37" s="514"/>
      <c r="F37" s="515"/>
      <c r="G37" s="305"/>
    </row>
    <row r="38" spans="1:7" s="234" customFormat="1" ht="23.25">
      <c r="A38" s="240"/>
      <c r="B38" s="241"/>
      <c r="C38" s="241"/>
      <c r="D38" s="252"/>
      <c r="E38" s="253"/>
      <c r="F38" s="254"/>
      <c r="G38" s="305"/>
    </row>
    <row r="39" spans="1:7" s="234" customFormat="1" ht="36" customHeight="1">
      <c r="A39" s="239" t="s">
        <v>32</v>
      </c>
      <c r="B39" s="483" t="s">
        <v>623</v>
      </c>
      <c r="C39" s="483"/>
      <c r="D39" s="483"/>
      <c r="E39" s="483"/>
      <c r="F39" s="483"/>
      <c r="G39" s="305"/>
    </row>
    <row r="40" spans="1:7" s="234" customFormat="1" ht="23.25">
      <c r="A40" s="240"/>
      <c r="B40" s="241"/>
      <c r="C40" s="241"/>
      <c r="D40" s="252"/>
      <c r="E40" s="253"/>
      <c r="F40" s="254"/>
      <c r="G40" s="305"/>
    </row>
    <row r="41" spans="1:6" s="234" customFormat="1" ht="23.25">
      <c r="A41" s="240"/>
      <c r="B41" s="484" t="s">
        <v>645</v>
      </c>
      <c r="C41" s="484"/>
      <c r="D41" s="484"/>
      <c r="E41" s="484"/>
      <c r="F41" s="485"/>
    </row>
    <row r="42" spans="1:6" s="234" customFormat="1" ht="23.25">
      <c r="A42" s="240"/>
      <c r="B42" s="484" t="s">
        <v>845</v>
      </c>
      <c r="C42" s="484"/>
      <c r="D42" s="484"/>
      <c r="E42" s="484"/>
      <c r="F42" s="254"/>
    </row>
    <row r="43" spans="1:6" s="234" customFormat="1" ht="23.25">
      <c r="A43" s="240"/>
      <c r="B43" s="484" t="s">
        <v>846</v>
      </c>
      <c r="C43" s="484"/>
      <c r="D43" s="484"/>
      <c r="E43" s="484"/>
      <c r="F43" s="254"/>
    </row>
    <row r="44" spans="1:6" s="234" customFormat="1" ht="23.25">
      <c r="A44" s="240"/>
      <c r="B44" s="241"/>
      <c r="C44" s="241"/>
      <c r="D44" s="252"/>
      <c r="E44" s="253"/>
      <c r="F44" s="254"/>
    </row>
    <row r="45" spans="1:6" s="234" customFormat="1" ht="23.25">
      <c r="A45" s="239" t="s">
        <v>33</v>
      </c>
      <c r="B45" s="483" t="s">
        <v>692</v>
      </c>
      <c r="C45" s="483"/>
      <c r="D45" s="483"/>
      <c r="E45" s="483"/>
      <c r="F45" s="483"/>
    </row>
    <row r="46" spans="1:6" s="234" customFormat="1" ht="23.25">
      <c r="A46" s="240"/>
      <c r="B46" s="241"/>
      <c r="C46" s="241"/>
      <c r="D46" s="252"/>
      <c r="E46" s="253"/>
      <c r="F46" s="254"/>
    </row>
    <row r="47" spans="1:6" s="234" customFormat="1" ht="23.25">
      <c r="A47" s="240"/>
      <c r="B47" s="241" t="s">
        <v>646</v>
      </c>
      <c r="C47" s="241"/>
      <c r="D47" s="252"/>
      <c r="E47" s="253"/>
      <c r="F47" s="254"/>
    </row>
    <row r="48" spans="1:6" s="234" customFormat="1" ht="46.5">
      <c r="A48" s="240"/>
      <c r="B48" s="241" t="s">
        <v>326</v>
      </c>
      <c r="C48" s="241"/>
      <c r="D48" s="252"/>
      <c r="E48" s="253"/>
      <c r="F48" s="254"/>
    </row>
    <row r="49" spans="1:6" s="234" customFormat="1" ht="23.25">
      <c r="A49" s="240"/>
      <c r="B49" s="241"/>
      <c r="C49" s="241"/>
      <c r="D49" s="252"/>
      <c r="E49" s="253"/>
      <c r="F49" s="254"/>
    </row>
    <row r="50" spans="1:6" s="234" customFormat="1" ht="23.25">
      <c r="A50" s="239" t="s">
        <v>34</v>
      </c>
      <c r="B50" s="483" t="s">
        <v>334</v>
      </c>
      <c r="C50" s="483"/>
      <c r="D50" s="483"/>
      <c r="E50" s="483"/>
      <c r="F50" s="483"/>
    </row>
    <row r="51" spans="1:6" s="234" customFormat="1" ht="23.25">
      <c r="A51" s="240"/>
      <c r="B51" s="241"/>
      <c r="C51" s="241"/>
      <c r="D51" s="252"/>
      <c r="E51" s="253"/>
      <c r="F51" s="254"/>
    </row>
    <row r="52" spans="1:6" s="234" customFormat="1" ht="23.25">
      <c r="A52" s="240"/>
      <c r="B52" s="241" t="s">
        <v>1027</v>
      </c>
      <c r="C52" s="241"/>
      <c r="D52" s="252"/>
      <c r="E52" s="253"/>
      <c r="F52" s="254"/>
    </row>
    <row r="53" spans="1:6" s="234" customFormat="1" ht="23.25">
      <c r="A53" s="240"/>
      <c r="B53" s="241"/>
      <c r="C53" s="241"/>
      <c r="D53" s="252"/>
      <c r="E53" s="253"/>
      <c r="F53" s="254"/>
    </row>
    <row r="54" spans="1:6" s="234" customFormat="1" ht="23.25">
      <c r="A54" s="239" t="s">
        <v>132</v>
      </c>
      <c r="B54" s="483" t="s">
        <v>335</v>
      </c>
      <c r="C54" s="483"/>
      <c r="D54" s="483"/>
      <c r="E54" s="483"/>
      <c r="F54" s="483"/>
    </row>
    <row r="55" spans="1:6" s="234" customFormat="1" ht="23.25">
      <c r="A55" s="240"/>
      <c r="B55" s="241"/>
      <c r="C55" s="241"/>
      <c r="D55" s="252"/>
      <c r="E55" s="253"/>
      <c r="F55" s="254"/>
    </row>
    <row r="56" spans="1:6" s="234" customFormat="1" ht="23.25">
      <c r="A56" s="240"/>
      <c r="B56" s="241" t="s">
        <v>646</v>
      </c>
      <c r="C56" s="241"/>
      <c r="D56" s="252"/>
      <c r="E56" s="253"/>
      <c r="F56" s="254"/>
    </row>
    <row r="57" spans="1:6" s="234" customFormat="1" ht="23.25">
      <c r="A57" s="240"/>
      <c r="B57" s="241"/>
      <c r="C57" s="241"/>
      <c r="D57" s="252"/>
      <c r="E57" s="253"/>
      <c r="F57" s="254"/>
    </row>
    <row r="58" spans="1:6" s="234" customFormat="1" ht="23.25">
      <c r="A58" s="239" t="s">
        <v>133</v>
      </c>
      <c r="B58" s="483" t="s">
        <v>336</v>
      </c>
      <c r="C58" s="483"/>
      <c r="D58" s="483"/>
      <c r="E58" s="483"/>
      <c r="F58" s="483"/>
    </row>
    <row r="59" spans="1:6" s="234" customFormat="1" ht="23.25">
      <c r="A59" s="240"/>
      <c r="B59" s="241"/>
      <c r="C59" s="241"/>
      <c r="D59" s="252"/>
      <c r="E59" s="253"/>
      <c r="F59" s="254"/>
    </row>
    <row r="60" spans="1:6" s="234" customFormat="1" ht="36" customHeight="1">
      <c r="A60" s="240"/>
      <c r="B60" s="484" t="s">
        <v>852</v>
      </c>
      <c r="C60" s="484"/>
      <c r="D60" s="484"/>
      <c r="E60" s="484"/>
      <c r="F60" s="485"/>
    </row>
    <row r="61" spans="1:6" s="234" customFormat="1" ht="23.25">
      <c r="A61" s="240"/>
      <c r="B61" s="241"/>
      <c r="C61" s="241"/>
      <c r="D61" s="252"/>
      <c r="E61" s="253"/>
      <c r="F61" s="254"/>
    </row>
    <row r="62" spans="1:6" s="234" customFormat="1" ht="23.25">
      <c r="A62" s="239" t="s">
        <v>134</v>
      </c>
      <c r="B62" s="483" t="s">
        <v>693</v>
      </c>
      <c r="C62" s="483"/>
      <c r="D62" s="483"/>
      <c r="E62" s="483"/>
      <c r="F62" s="483"/>
    </row>
    <row r="63" spans="1:6" s="234" customFormat="1" ht="23.25">
      <c r="A63" s="240"/>
      <c r="B63" s="241"/>
      <c r="C63" s="241"/>
      <c r="D63" s="252"/>
      <c r="E63" s="253"/>
      <c r="F63" s="254"/>
    </row>
    <row r="64" spans="1:6" s="234" customFormat="1" ht="23.25">
      <c r="A64" s="240"/>
      <c r="B64" s="241" t="s">
        <v>853</v>
      </c>
      <c r="C64" s="241"/>
      <c r="D64" s="252"/>
      <c r="E64" s="253"/>
      <c r="F64" s="254"/>
    </row>
    <row r="65" spans="1:6" s="234" customFormat="1" ht="23.25">
      <c r="A65" s="240"/>
      <c r="B65" s="241"/>
      <c r="C65" s="241"/>
      <c r="D65" s="252"/>
      <c r="E65" s="253"/>
      <c r="F65" s="254"/>
    </row>
    <row r="66" spans="1:6" s="234" customFormat="1" ht="23.25">
      <c r="A66" s="239" t="s">
        <v>316</v>
      </c>
      <c r="B66" s="483" t="s">
        <v>397</v>
      </c>
      <c r="C66" s="483"/>
      <c r="D66" s="483"/>
      <c r="E66" s="483"/>
      <c r="F66" s="483"/>
    </row>
    <row r="67" spans="1:8" s="234" customFormat="1" ht="23.25">
      <c r="A67" s="240"/>
      <c r="B67" s="241"/>
      <c r="C67" s="241"/>
      <c r="D67" s="252"/>
      <c r="E67" s="253"/>
      <c r="F67" s="254"/>
      <c r="H67" s="243"/>
    </row>
    <row r="68" spans="1:8" s="234" customFormat="1" ht="23.25">
      <c r="A68" s="240"/>
      <c r="B68" s="481" t="s">
        <v>844</v>
      </c>
      <c r="C68" s="481"/>
      <c r="D68" s="252"/>
      <c r="E68" s="253"/>
      <c r="F68" s="254"/>
      <c r="H68" s="243"/>
    </row>
    <row r="69" spans="1:8" s="234" customFormat="1" ht="23.25">
      <c r="A69" s="240"/>
      <c r="B69" s="241"/>
      <c r="C69" s="241"/>
      <c r="D69" s="252"/>
      <c r="E69" s="253"/>
      <c r="F69" s="254"/>
      <c r="H69" s="243"/>
    </row>
    <row r="70" spans="1:6" s="234" customFormat="1" ht="23.25">
      <c r="A70" s="239" t="s">
        <v>628</v>
      </c>
      <c r="B70" s="483" t="s">
        <v>630</v>
      </c>
      <c r="C70" s="483"/>
      <c r="D70" s="483"/>
      <c r="E70" s="483"/>
      <c r="F70" s="483"/>
    </row>
    <row r="71" spans="1:8" s="234" customFormat="1" ht="23.25">
      <c r="A71" s="240"/>
      <c r="B71" s="241"/>
      <c r="C71" s="241"/>
      <c r="D71" s="252"/>
      <c r="E71" s="253"/>
      <c r="F71" s="254"/>
      <c r="H71" s="243"/>
    </row>
    <row r="72" spans="1:8" s="234" customFormat="1" ht="23.25">
      <c r="A72" s="240"/>
      <c r="B72" s="241" t="s">
        <v>647</v>
      </c>
      <c r="C72" s="241"/>
      <c r="D72" s="252"/>
      <c r="E72" s="253"/>
      <c r="F72" s="254"/>
      <c r="H72" s="243"/>
    </row>
    <row r="73" spans="1:8" s="234" customFormat="1" ht="23.25">
      <c r="A73" s="240"/>
      <c r="B73" s="241"/>
      <c r="C73" s="241"/>
      <c r="D73" s="252"/>
      <c r="E73" s="253"/>
      <c r="F73" s="254"/>
      <c r="H73" s="243"/>
    </row>
    <row r="74" spans="1:8" s="234" customFormat="1" ht="23.25">
      <c r="A74" s="244" t="s">
        <v>27</v>
      </c>
      <c r="B74" s="511" t="s">
        <v>211</v>
      </c>
      <c r="C74" s="511"/>
      <c r="D74" s="511"/>
      <c r="E74" s="511"/>
      <c r="F74" s="511"/>
      <c r="H74" s="243"/>
    </row>
    <row r="75" spans="1:6" s="234" customFormat="1" ht="23.25">
      <c r="A75" s="245" t="s">
        <v>28</v>
      </c>
      <c r="B75" s="483" t="s">
        <v>694</v>
      </c>
      <c r="C75" s="483"/>
      <c r="D75" s="483"/>
      <c r="E75" s="483"/>
      <c r="F75" s="483"/>
    </row>
    <row r="76" spans="1:7" s="234" customFormat="1" ht="23.25">
      <c r="A76" s="246"/>
      <c r="B76" s="241"/>
      <c r="C76" s="241"/>
      <c r="D76" s="255"/>
      <c r="E76" s="253"/>
      <c r="F76" s="254"/>
      <c r="G76" s="243"/>
    </row>
    <row r="77" spans="1:7" s="234" customFormat="1" ht="23.25">
      <c r="A77" s="494" t="s">
        <v>854</v>
      </c>
      <c r="B77" s="495"/>
      <c r="C77" s="495"/>
      <c r="D77" s="495"/>
      <c r="E77" s="495"/>
      <c r="F77" s="496"/>
      <c r="G77" s="243"/>
    </row>
    <row r="78" spans="1:7" s="311" customFormat="1" ht="23.25">
      <c r="A78" s="307"/>
      <c r="B78" s="312" t="s">
        <v>855</v>
      </c>
      <c r="C78" s="308"/>
      <c r="D78" s="308"/>
      <c r="E78" s="308"/>
      <c r="F78" s="309"/>
      <c r="G78" s="310"/>
    </row>
    <row r="79" spans="1:7" s="234" customFormat="1" ht="23.25">
      <c r="A79" s="246"/>
      <c r="B79" s="241"/>
      <c r="C79" s="241"/>
      <c r="D79" s="255"/>
      <c r="E79" s="253"/>
      <c r="F79" s="254"/>
      <c r="G79" s="243"/>
    </row>
    <row r="80" spans="1:6" s="234" customFormat="1" ht="23.25">
      <c r="A80" s="245" t="s">
        <v>317</v>
      </c>
      <c r="B80" s="483" t="s">
        <v>695</v>
      </c>
      <c r="C80" s="483"/>
      <c r="D80" s="483"/>
      <c r="E80" s="483"/>
      <c r="F80" s="483"/>
    </row>
    <row r="81" spans="1:6" s="234" customFormat="1" ht="23.25">
      <c r="A81" s="246"/>
      <c r="B81" s="241"/>
      <c r="C81" s="241"/>
      <c r="D81" s="255"/>
      <c r="E81" s="253"/>
      <c r="F81" s="254"/>
    </row>
    <row r="82" spans="1:7" s="234" customFormat="1" ht="55.5" customHeight="1">
      <c r="A82" s="246"/>
      <c r="B82" s="484" t="s">
        <v>856</v>
      </c>
      <c r="C82" s="484"/>
      <c r="D82" s="484"/>
      <c r="E82" s="484"/>
      <c r="F82" s="485"/>
      <c r="G82" s="304"/>
    </row>
    <row r="83" spans="1:6" s="234" customFormat="1" ht="23.25">
      <c r="A83" s="246"/>
      <c r="B83" s="241"/>
      <c r="C83" s="241"/>
      <c r="D83" s="255"/>
      <c r="E83" s="253"/>
      <c r="F83" s="254"/>
    </row>
    <row r="84" spans="1:6" s="234" customFormat="1" ht="36" customHeight="1">
      <c r="A84" s="245" t="s">
        <v>318</v>
      </c>
      <c r="B84" s="483" t="s">
        <v>696</v>
      </c>
      <c r="C84" s="483"/>
      <c r="D84" s="483"/>
      <c r="E84" s="483"/>
      <c r="F84" s="483"/>
    </row>
    <row r="85" spans="1:6" s="234" customFormat="1" ht="23.25">
      <c r="A85" s="246"/>
      <c r="B85" s="241"/>
      <c r="C85" s="241"/>
      <c r="D85" s="255"/>
      <c r="E85" s="253"/>
      <c r="F85" s="254"/>
    </row>
    <row r="86" spans="1:6" s="247" customFormat="1" ht="23.25" customHeight="1">
      <c r="A86" s="480" t="s">
        <v>858</v>
      </c>
      <c r="B86" s="481"/>
      <c r="C86" s="481"/>
      <c r="D86" s="481"/>
      <c r="E86" s="481"/>
      <c r="F86" s="482"/>
    </row>
    <row r="87" spans="1:6" s="247" customFormat="1" ht="23.25" customHeight="1">
      <c r="A87" s="480" t="s">
        <v>859</v>
      </c>
      <c r="B87" s="481"/>
      <c r="C87" s="481"/>
      <c r="D87" s="481"/>
      <c r="E87" s="481"/>
      <c r="F87" s="482"/>
    </row>
    <row r="88" spans="1:6" s="247" customFormat="1" ht="23.25" customHeight="1">
      <c r="A88" s="480" t="s">
        <v>860</v>
      </c>
      <c r="B88" s="481"/>
      <c r="C88" s="481"/>
      <c r="D88" s="481"/>
      <c r="E88" s="481"/>
      <c r="F88" s="482"/>
    </row>
    <row r="89" spans="1:6" s="316" customFormat="1" ht="23.25" customHeight="1">
      <c r="A89" s="313"/>
      <c r="B89" s="317" t="s">
        <v>861</v>
      </c>
      <c r="C89" s="314"/>
      <c r="D89" s="314"/>
      <c r="E89" s="314"/>
      <c r="F89" s="315"/>
    </row>
    <row r="90" spans="1:6" s="247" customFormat="1" ht="23.25">
      <c r="A90" s="246"/>
      <c r="B90" s="241"/>
      <c r="C90" s="241"/>
      <c r="D90" s="255"/>
      <c r="E90" s="253"/>
      <c r="F90" s="254"/>
    </row>
    <row r="91" spans="1:6" s="234" customFormat="1" ht="23.25">
      <c r="A91" s="245" t="s">
        <v>29</v>
      </c>
      <c r="B91" s="483" t="s">
        <v>697</v>
      </c>
      <c r="C91" s="483"/>
      <c r="D91" s="483"/>
      <c r="E91" s="483"/>
      <c r="F91" s="483"/>
    </row>
    <row r="92" spans="1:6" s="234" customFormat="1" ht="23.25">
      <c r="A92" s="246"/>
      <c r="B92" s="241"/>
      <c r="C92" s="241"/>
      <c r="D92" s="255"/>
      <c r="E92" s="253"/>
      <c r="F92" s="254"/>
    </row>
    <row r="93" spans="1:6" s="247" customFormat="1" ht="23.25">
      <c r="A93" s="480" t="s">
        <v>862</v>
      </c>
      <c r="B93" s="481"/>
      <c r="C93" s="481"/>
      <c r="D93" s="481"/>
      <c r="E93" s="481"/>
      <c r="F93" s="482"/>
    </row>
    <row r="94" spans="1:6" s="247" customFormat="1" ht="23.25">
      <c r="A94" s="488" t="s">
        <v>863</v>
      </c>
      <c r="B94" s="489"/>
      <c r="C94" s="489"/>
      <c r="D94" s="489"/>
      <c r="E94" s="489"/>
      <c r="F94" s="490"/>
    </row>
    <row r="95" spans="1:7" s="247" customFormat="1" ht="23.25">
      <c r="A95" s="488" t="s">
        <v>864</v>
      </c>
      <c r="B95" s="489"/>
      <c r="C95" s="489"/>
      <c r="D95" s="489"/>
      <c r="E95" s="489"/>
      <c r="F95" s="490"/>
      <c r="G95" s="318"/>
    </row>
    <row r="96" spans="1:6" s="247" customFormat="1" ht="23.25">
      <c r="A96" s="491" t="s">
        <v>865</v>
      </c>
      <c r="B96" s="492"/>
      <c r="C96" s="492"/>
      <c r="D96" s="492"/>
      <c r="E96" s="492"/>
      <c r="F96" s="493"/>
    </row>
    <row r="97" spans="1:6" s="247" customFormat="1" ht="23.25">
      <c r="A97" s="246"/>
      <c r="B97" s="283"/>
      <c r="C97" s="283"/>
      <c r="D97" s="255"/>
      <c r="E97" s="253"/>
      <c r="F97" s="254"/>
    </row>
    <row r="98" spans="1:6" s="234" customFormat="1" ht="23.25">
      <c r="A98" s="245" t="s">
        <v>194</v>
      </c>
      <c r="B98" s="483" t="s">
        <v>698</v>
      </c>
      <c r="C98" s="483"/>
      <c r="D98" s="483"/>
      <c r="E98" s="483"/>
      <c r="F98" s="483"/>
    </row>
    <row r="99" spans="1:6" s="234" customFormat="1" ht="23.25">
      <c r="A99" s="246"/>
      <c r="B99" s="241"/>
      <c r="C99" s="241"/>
      <c r="D99" s="255"/>
      <c r="E99" s="253"/>
      <c r="F99" s="254"/>
    </row>
    <row r="100" spans="1:6" s="247" customFormat="1" ht="23.25">
      <c r="A100" s="480" t="s">
        <v>866</v>
      </c>
      <c r="B100" s="481"/>
      <c r="C100" s="481"/>
      <c r="D100" s="481"/>
      <c r="E100" s="481"/>
      <c r="F100" s="482"/>
    </row>
    <row r="101" spans="1:6" s="247" customFormat="1" ht="23.25">
      <c r="A101" s="488" t="s">
        <v>867</v>
      </c>
      <c r="B101" s="489"/>
      <c r="C101" s="489"/>
      <c r="D101" s="489"/>
      <c r="E101" s="489"/>
      <c r="F101" s="490"/>
    </row>
    <row r="102" spans="1:7" s="247" customFormat="1" ht="23.25">
      <c r="A102" s="488" t="s">
        <v>868</v>
      </c>
      <c r="B102" s="489"/>
      <c r="C102" s="489"/>
      <c r="D102" s="489"/>
      <c r="E102" s="489"/>
      <c r="F102" s="490"/>
      <c r="G102" s="318"/>
    </row>
    <row r="103" spans="1:7" s="247" customFormat="1" ht="23.25">
      <c r="A103" s="491" t="s">
        <v>869</v>
      </c>
      <c r="B103" s="492"/>
      <c r="C103" s="492"/>
      <c r="D103" s="492"/>
      <c r="E103" s="492"/>
      <c r="F103" s="493"/>
      <c r="G103" s="319"/>
    </row>
    <row r="104" spans="1:7" s="247" customFormat="1" ht="23.25">
      <c r="A104" s="246"/>
      <c r="B104" s="241"/>
      <c r="C104" s="241"/>
      <c r="D104" s="255"/>
      <c r="E104" s="253"/>
      <c r="F104" s="254"/>
      <c r="G104" s="319"/>
    </row>
    <row r="105" spans="1:6" s="234" customFormat="1" ht="36" customHeight="1">
      <c r="A105" s="245" t="s">
        <v>30</v>
      </c>
      <c r="B105" s="483" t="s">
        <v>395</v>
      </c>
      <c r="C105" s="483"/>
      <c r="D105" s="483"/>
      <c r="E105" s="483"/>
      <c r="F105" s="483"/>
    </row>
    <row r="106" spans="1:6" s="234" customFormat="1" ht="23.25">
      <c r="A106" s="246"/>
      <c r="B106" s="241"/>
      <c r="C106" s="241"/>
      <c r="D106" s="255"/>
      <c r="E106" s="253"/>
      <c r="F106" s="254"/>
    </row>
    <row r="107" spans="1:6" s="247" customFormat="1" ht="23.25">
      <c r="A107" s="480" t="s">
        <v>870</v>
      </c>
      <c r="B107" s="481"/>
      <c r="C107" s="481"/>
      <c r="D107" s="481"/>
      <c r="E107" s="481"/>
      <c r="F107" s="482"/>
    </row>
    <row r="108" spans="1:6" s="247" customFormat="1" ht="23.25">
      <c r="A108" s="488" t="s">
        <v>872</v>
      </c>
      <c r="B108" s="489"/>
      <c r="C108" s="489"/>
      <c r="D108" s="489"/>
      <c r="E108" s="489"/>
      <c r="F108" s="490"/>
    </row>
    <row r="109" spans="1:7" s="247" customFormat="1" ht="23.25">
      <c r="A109" s="488" t="s">
        <v>871</v>
      </c>
      <c r="B109" s="489"/>
      <c r="C109" s="489"/>
      <c r="D109" s="489"/>
      <c r="E109" s="489"/>
      <c r="F109" s="490"/>
      <c r="G109" s="318"/>
    </row>
    <row r="110" spans="1:6" s="247" customFormat="1" ht="23.25">
      <c r="A110" s="491" t="s">
        <v>873</v>
      </c>
      <c r="B110" s="492"/>
      <c r="C110" s="492"/>
      <c r="D110" s="492"/>
      <c r="E110" s="492"/>
      <c r="F110" s="493"/>
    </row>
    <row r="111" spans="1:6" s="247" customFormat="1" ht="23.25">
      <c r="A111" s="246"/>
      <c r="B111" s="241"/>
      <c r="C111" s="241"/>
      <c r="D111" s="255"/>
      <c r="E111" s="253"/>
      <c r="F111" s="254"/>
    </row>
    <row r="112" spans="1:6" s="234" customFormat="1" ht="23.25">
      <c r="A112" s="245" t="s">
        <v>65</v>
      </c>
      <c r="B112" s="483" t="s">
        <v>699</v>
      </c>
      <c r="C112" s="483"/>
      <c r="D112" s="483"/>
      <c r="E112" s="483"/>
      <c r="F112" s="483"/>
    </row>
    <row r="113" spans="1:6" s="234" customFormat="1" ht="23.25">
      <c r="A113" s="246"/>
      <c r="B113" s="241"/>
      <c r="C113" s="241"/>
      <c r="D113" s="255"/>
      <c r="E113" s="253"/>
      <c r="F113" s="254"/>
    </row>
    <row r="114" spans="1:6" s="247" customFormat="1" ht="36" customHeight="1">
      <c r="A114" s="246"/>
      <c r="B114" s="484" t="s">
        <v>874</v>
      </c>
      <c r="C114" s="484"/>
      <c r="D114" s="484"/>
      <c r="E114" s="484"/>
      <c r="F114" s="485"/>
    </row>
    <row r="115" spans="1:6" s="234" customFormat="1" ht="23.25">
      <c r="A115" s="246"/>
      <c r="B115" s="241"/>
      <c r="C115" s="241"/>
      <c r="D115" s="255"/>
      <c r="E115" s="253"/>
      <c r="F115" s="254"/>
    </row>
    <row r="116" spans="1:6" s="234" customFormat="1" ht="23.25">
      <c r="A116" s="244" t="s">
        <v>60</v>
      </c>
      <c r="B116" s="236" t="s">
        <v>212</v>
      </c>
      <c r="C116" s="236"/>
      <c r="D116" s="256"/>
      <c r="E116" s="236"/>
      <c r="F116" s="256"/>
    </row>
    <row r="117" spans="1:6" s="234" customFormat="1" ht="23.25">
      <c r="A117" s="245" t="s">
        <v>45</v>
      </c>
      <c r="B117" s="483" t="s">
        <v>700</v>
      </c>
      <c r="C117" s="483"/>
      <c r="D117" s="483"/>
      <c r="E117" s="483"/>
      <c r="F117" s="483"/>
    </row>
    <row r="118" spans="1:6" s="234" customFormat="1" ht="23.25">
      <c r="A118" s="246"/>
      <c r="B118" s="241"/>
      <c r="C118" s="241"/>
      <c r="D118" s="255"/>
      <c r="E118" s="253"/>
      <c r="F118" s="254"/>
    </row>
    <row r="119" spans="1:6" s="247" customFormat="1" ht="23.25">
      <c r="A119" s="246"/>
      <c r="B119" s="241" t="s">
        <v>875</v>
      </c>
      <c r="C119" s="241"/>
      <c r="D119" s="255"/>
      <c r="E119" s="253"/>
      <c r="F119" s="254"/>
    </row>
    <row r="120" spans="1:6" s="234" customFormat="1" ht="23.25">
      <c r="A120" s="246"/>
      <c r="B120" s="241"/>
      <c r="C120" s="241"/>
      <c r="D120" s="255"/>
      <c r="E120" s="253"/>
      <c r="F120" s="254"/>
    </row>
    <row r="121" spans="1:6" s="322" customFormat="1" ht="23.25">
      <c r="A121" s="239" t="s">
        <v>69</v>
      </c>
      <c r="B121" s="483" t="s">
        <v>701</v>
      </c>
      <c r="C121" s="483"/>
      <c r="D121" s="483"/>
      <c r="E121" s="483"/>
      <c r="F121" s="483"/>
    </row>
    <row r="122" spans="1:6" s="322" customFormat="1" ht="23.25">
      <c r="A122" s="240"/>
      <c r="B122" s="283"/>
      <c r="C122" s="283"/>
      <c r="D122" s="252"/>
      <c r="E122" s="253"/>
      <c r="F122" s="254"/>
    </row>
    <row r="123" spans="1:6" s="322" customFormat="1" ht="23.25">
      <c r="A123" s="246"/>
      <c r="B123" s="283" t="s">
        <v>884</v>
      </c>
      <c r="C123" s="283"/>
      <c r="D123" s="255"/>
      <c r="E123" s="257"/>
      <c r="F123" s="254"/>
    </row>
    <row r="124" spans="1:6" s="322" customFormat="1" ht="23.25">
      <c r="A124" s="240"/>
      <c r="B124" s="283"/>
      <c r="C124" s="283"/>
      <c r="D124" s="252"/>
      <c r="E124" s="253"/>
      <c r="F124" s="254"/>
    </row>
    <row r="125" spans="1:6" s="322" customFormat="1" ht="36" customHeight="1">
      <c r="A125" s="239" t="s">
        <v>61</v>
      </c>
      <c r="B125" s="483" t="s">
        <v>702</v>
      </c>
      <c r="C125" s="483"/>
      <c r="D125" s="483"/>
      <c r="E125" s="483"/>
      <c r="F125" s="483"/>
    </row>
    <row r="126" spans="1:6" s="322" customFormat="1" ht="23.25">
      <c r="A126" s="240"/>
      <c r="B126" s="283"/>
      <c r="C126" s="283"/>
      <c r="D126" s="252"/>
      <c r="E126" s="253"/>
      <c r="F126" s="254"/>
    </row>
    <row r="127" spans="1:6" s="322" customFormat="1" ht="23.25">
      <c r="A127" s="246"/>
      <c r="B127" s="283" t="s">
        <v>885</v>
      </c>
      <c r="C127" s="283"/>
      <c r="D127" s="255"/>
      <c r="E127" s="257"/>
      <c r="F127" s="254"/>
    </row>
    <row r="128" spans="1:6" s="322" customFormat="1" ht="23.25">
      <c r="A128" s="240"/>
      <c r="B128" s="283"/>
      <c r="C128" s="283"/>
      <c r="D128" s="252"/>
      <c r="E128" s="253"/>
      <c r="F128" s="254"/>
    </row>
    <row r="129" spans="1:6" s="322" customFormat="1" ht="23.25">
      <c r="A129" s="245" t="s">
        <v>62</v>
      </c>
      <c r="B129" s="483" t="s">
        <v>703</v>
      </c>
      <c r="C129" s="483"/>
      <c r="D129" s="483"/>
      <c r="E129" s="483"/>
      <c r="F129" s="483"/>
    </row>
    <row r="130" spans="1:6" s="322" customFormat="1" ht="23.25">
      <c r="A130" s="246"/>
      <c r="B130" s="283"/>
      <c r="C130" s="283"/>
      <c r="D130" s="255"/>
      <c r="E130" s="257"/>
      <c r="F130" s="254"/>
    </row>
    <row r="131" spans="1:6" s="322" customFormat="1" ht="23.25">
      <c r="A131" s="246"/>
      <c r="B131" s="283" t="s">
        <v>883</v>
      </c>
      <c r="C131" s="283"/>
      <c r="D131" s="255"/>
      <c r="E131" s="257"/>
      <c r="F131" s="254"/>
    </row>
    <row r="132" spans="1:6" s="322" customFormat="1" ht="23.25">
      <c r="A132" s="246"/>
      <c r="B132" s="283"/>
      <c r="C132" s="283"/>
      <c r="D132" s="255"/>
      <c r="E132" s="257"/>
      <c r="F132" s="254"/>
    </row>
    <row r="133" spans="1:6" s="322" customFormat="1" ht="23.25">
      <c r="A133" s="245" t="s">
        <v>166</v>
      </c>
      <c r="B133" s="483" t="s">
        <v>877</v>
      </c>
      <c r="C133" s="483"/>
      <c r="D133" s="483"/>
      <c r="E133" s="483"/>
      <c r="F133" s="483"/>
    </row>
    <row r="134" spans="1:6" s="322" customFormat="1" ht="23.25">
      <c r="A134" s="246"/>
      <c r="B134" s="283"/>
      <c r="C134" s="283"/>
      <c r="D134" s="255"/>
      <c r="E134" s="257"/>
      <c r="F134" s="254"/>
    </row>
    <row r="135" spans="1:6" s="322" customFormat="1" ht="23.25">
      <c r="A135" s="246"/>
      <c r="B135" s="283" t="s">
        <v>880</v>
      </c>
      <c r="C135" s="283"/>
      <c r="D135" s="255"/>
      <c r="E135" s="257"/>
      <c r="F135" s="254"/>
    </row>
    <row r="136" spans="1:6" s="322" customFormat="1" ht="23.25">
      <c r="A136" s="246"/>
      <c r="B136" s="283"/>
      <c r="C136" s="283"/>
      <c r="D136" s="255"/>
      <c r="E136" s="257"/>
      <c r="F136" s="254"/>
    </row>
    <row r="137" spans="1:6" s="322" customFormat="1" ht="23.25">
      <c r="A137" s="245" t="s">
        <v>169</v>
      </c>
      <c r="B137" s="483" t="s">
        <v>878</v>
      </c>
      <c r="C137" s="483"/>
      <c r="D137" s="483"/>
      <c r="E137" s="483"/>
      <c r="F137" s="483"/>
    </row>
    <row r="138" spans="1:6" s="322" customFormat="1" ht="23.25">
      <c r="A138" s="246"/>
      <c r="B138" s="283"/>
      <c r="C138" s="283"/>
      <c r="D138" s="255"/>
      <c r="E138" s="257"/>
      <c r="F138" s="254"/>
    </row>
    <row r="139" spans="1:6" s="322" customFormat="1" ht="23.25">
      <c r="A139" s="246"/>
      <c r="B139" s="283" t="s">
        <v>881</v>
      </c>
      <c r="C139" s="283"/>
      <c r="D139" s="255"/>
      <c r="E139" s="257"/>
      <c r="F139" s="254"/>
    </row>
    <row r="140" spans="1:6" s="322" customFormat="1" ht="23.25">
      <c r="A140" s="246"/>
      <c r="B140" s="283"/>
      <c r="C140" s="283"/>
      <c r="D140" s="255"/>
      <c r="E140" s="257"/>
      <c r="F140" s="254"/>
    </row>
    <row r="141" spans="1:6" s="322" customFormat="1" ht="23.25">
      <c r="A141" s="245" t="s">
        <v>170</v>
      </c>
      <c r="B141" s="483" t="s">
        <v>879</v>
      </c>
      <c r="C141" s="483"/>
      <c r="D141" s="483"/>
      <c r="E141" s="483"/>
      <c r="F141" s="483"/>
    </row>
    <row r="142" spans="1:6" s="322" customFormat="1" ht="23.25">
      <c r="A142" s="246"/>
      <c r="B142" s="283"/>
      <c r="C142" s="283"/>
      <c r="D142" s="255"/>
      <c r="E142" s="257"/>
      <c r="F142" s="254"/>
    </row>
    <row r="143" spans="1:6" s="322" customFormat="1" ht="23.25">
      <c r="A143" s="246"/>
      <c r="B143" s="283" t="s">
        <v>882</v>
      </c>
      <c r="C143" s="283"/>
      <c r="D143" s="255"/>
      <c r="E143" s="257"/>
      <c r="F143" s="254"/>
    </row>
    <row r="144" spans="1:6" s="322" customFormat="1" ht="23.25">
      <c r="A144" s="246"/>
      <c r="B144" s="283"/>
      <c r="C144" s="283"/>
      <c r="D144" s="255"/>
      <c r="E144" s="257"/>
      <c r="F144" s="254"/>
    </row>
    <row r="145" spans="1:6" s="234" customFormat="1" ht="23.25">
      <c r="A145" s="409" t="s">
        <v>299</v>
      </c>
      <c r="B145" s="487" t="s">
        <v>704</v>
      </c>
      <c r="C145" s="487"/>
      <c r="D145" s="487"/>
      <c r="E145" s="487"/>
      <c r="F145" s="487"/>
    </row>
    <row r="146" spans="1:8" s="234" customFormat="1" ht="23.25">
      <c r="A146" s="377"/>
      <c r="B146" s="378"/>
      <c r="C146" s="378"/>
      <c r="D146" s="379"/>
      <c r="E146" s="380"/>
      <c r="F146" s="381"/>
      <c r="H146" s="234">
        <f>3.5*16.51</f>
        <v>57.785000000000004</v>
      </c>
    </row>
    <row r="147" spans="1:8" s="234" customFormat="1" ht="23.25">
      <c r="A147" s="343"/>
      <c r="B147" s="514" t="s">
        <v>940</v>
      </c>
      <c r="C147" s="514"/>
      <c r="D147" s="514"/>
      <c r="E147" s="257"/>
      <c r="F147" s="254"/>
      <c r="G147" s="234">
        <f>16*6*2+7.6</f>
        <v>199.6</v>
      </c>
      <c r="H147" s="234">
        <f>4*30.05</f>
        <v>120.2</v>
      </c>
    </row>
    <row r="148" spans="1:6" s="234" customFormat="1" ht="23.25">
      <c r="A148" s="343"/>
      <c r="B148" s="340"/>
      <c r="C148" s="340"/>
      <c r="D148" s="340"/>
      <c r="E148" s="257"/>
      <c r="F148" s="254"/>
    </row>
    <row r="149" spans="1:8" s="234" customFormat="1" ht="23.25" customHeight="1">
      <c r="A149" s="382"/>
      <c r="B149" s="514" t="s">
        <v>938</v>
      </c>
      <c r="C149" s="514"/>
      <c r="D149" s="514"/>
      <c r="E149" s="514"/>
      <c r="F149" s="515"/>
      <c r="H149" s="234">
        <f>(H146+H147)*2</f>
        <v>355.97</v>
      </c>
    </row>
    <row r="150" spans="1:8" s="234" customFormat="1" ht="23.25" customHeight="1">
      <c r="A150" s="382"/>
      <c r="B150" s="514" t="s">
        <v>939</v>
      </c>
      <c r="C150" s="514"/>
      <c r="D150" s="514"/>
      <c r="E150" s="514"/>
      <c r="F150" s="515"/>
      <c r="H150" s="234">
        <v>6.2</v>
      </c>
    </row>
    <row r="151" spans="1:8" s="234" customFormat="1" ht="23.25">
      <c r="A151" s="343"/>
      <c r="B151" s="306" t="s">
        <v>937</v>
      </c>
      <c r="C151" s="341"/>
      <c r="D151" s="255"/>
      <c r="E151" s="257"/>
      <c r="F151" s="254"/>
      <c r="G151" s="234">
        <f>(30.05*2+27.9+0.18)*2</f>
        <v>176.36</v>
      </c>
      <c r="H151" s="234">
        <f>H149-H150</f>
        <v>349.77000000000004</v>
      </c>
    </row>
    <row r="152" spans="1:6" s="234" customFormat="1" ht="23.25">
      <c r="A152" s="250"/>
      <c r="B152" s="410"/>
      <c r="C152" s="251"/>
      <c r="D152" s="259"/>
      <c r="E152" s="383"/>
      <c r="F152" s="261"/>
    </row>
    <row r="153" spans="1:7" s="322" customFormat="1" ht="23.25">
      <c r="A153" s="434" t="s">
        <v>311</v>
      </c>
      <c r="B153" s="486" t="s">
        <v>970</v>
      </c>
      <c r="C153" s="486"/>
      <c r="D153" s="486"/>
      <c r="E153" s="486"/>
      <c r="F153" s="486"/>
      <c r="G153" s="322">
        <f>9*6*2</f>
        <v>108</v>
      </c>
    </row>
    <row r="154" spans="1:7" s="322" customFormat="1" ht="23.25">
      <c r="A154" s="414"/>
      <c r="B154" s="413"/>
      <c r="C154" s="413"/>
      <c r="D154" s="255"/>
      <c r="E154" s="253"/>
      <c r="F154" s="254"/>
      <c r="G154" s="322">
        <f>16.5*3*2</f>
        <v>99</v>
      </c>
    </row>
    <row r="155" spans="1:7" s="322" customFormat="1" ht="23.25">
      <c r="A155" s="480" t="s">
        <v>876</v>
      </c>
      <c r="B155" s="481"/>
      <c r="C155" s="481"/>
      <c r="D155" s="481"/>
      <c r="E155" s="481"/>
      <c r="F155" s="482"/>
      <c r="G155" s="322">
        <f>SUM(G147:G154)</f>
        <v>582.96</v>
      </c>
    </row>
    <row r="156" spans="1:6" s="322" customFormat="1" ht="23.25">
      <c r="A156" s="480" t="s">
        <v>971</v>
      </c>
      <c r="B156" s="481"/>
      <c r="C156" s="481"/>
      <c r="D156" s="481"/>
      <c r="E156" s="481"/>
      <c r="F156" s="482"/>
    </row>
    <row r="157" spans="1:6" s="322" customFormat="1" ht="23.25">
      <c r="A157" s="414"/>
      <c r="B157" s="413"/>
      <c r="C157" s="413"/>
      <c r="D157" s="255"/>
      <c r="E157" s="253"/>
      <c r="F157" s="254"/>
    </row>
    <row r="158" spans="1:6" s="234" customFormat="1" ht="23.25">
      <c r="A158" s="245" t="s">
        <v>312</v>
      </c>
      <c r="B158" s="483" t="s">
        <v>1017</v>
      </c>
      <c r="C158" s="483"/>
      <c r="D158" s="483"/>
      <c r="E158" s="483"/>
      <c r="F158" s="483"/>
    </row>
    <row r="159" spans="1:6" s="234" customFormat="1" ht="23.25">
      <c r="A159" s="246"/>
      <c r="B159" s="241"/>
      <c r="C159" s="241"/>
      <c r="D159" s="255"/>
      <c r="E159" s="257"/>
      <c r="F159" s="254"/>
    </row>
    <row r="160" spans="1:6" s="234" customFormat="1" ht="23.25">
      <c r="A160" s="246"/>
      <c r="B160" s="241" t="s">
        <v>648</v>
      </c>
      <c r="C160" s="241"/>
      <c r="D160" s="255"/>
      <c r="E160" s="257"/>
      <c r="F160" s="254"/>
    </row>
    <row r="161" spans="1:6" s="234" customFormat="1" ht="23.25">
      <c r="A161" s="246"/>
      <c r="B161" s="241"/>
      <c r="C161" s="241"/>
      <c r="D161" s="255"/>
      <c r="E161" s="257"/>
      <c r="F161" s="254"/>
    </row>
    <row r="162" spans="1:6" s="234" customFormat="1" ht="36" customHeight="1">
      <c r="A162" s="245" t="s">
        <v>319</v>
      </c>
      <c r="B162" s="483" t="s">
        <v>421</v>
      </c>
      <c r="C162" s="483"/>
      <c r="D162" s="483"/>
      <c r="E162" s="483"/>
      <c r="F162" s="483"/>
    </row>
    <row r="163" spans="1:6" s="234" customFormat="1" ht="23.25">
      <c r="A163" s="246"/>
      <c r="B163" s="241"/>
      <c r="C163" s="241"/>
      <c r="D163" s="255"/>
      <c r="E163" s="257"/>
      <c r="F163" s="254"/>
    </row>
    <row r="164" spans="1:6" s="234" customFormat="1" ht="23.25">
      <c r="A164" s="246"/>
      <c r="B164" s="241" t="s">
        <v>649</v>
      </c>
      <c r="C164" s="241"/>
      <c r="D164" s="255"/>
      <c r="E164" s="257"/>
      <c r="F164" s="254"/>
    </row>
    <row r="165" spans="1:6" s="234" customFormat="1" ht="23.25">
      <c r="A165" s="246"/>
      <c r="B165" s="241"/>
      <c r="C165" s="241"/>
      <c r="D165" s="255"/>
      <c r="E165" s="257"/>
      <c r="F165" s="254"/>
    </row>
    <row r="166" spans="1:6" s="234" customFormat="1" ht="36" customHeight="1">
      <c r="A166" s="245" t="s">
        <v>621</v>
      </c>
      <c r="B166" s="483" t="s">
        <v>419</v>
      </c>
      <c r="C166" s="483"/>
      <c r="D166" s="483"/>
      <c r="E166" s="483"/>
      <c r="F166" s="483"/>
    </row>
    <row r="167" spans="1:6" s="234" customFormat="1" ht="23.25">
      <c r="A167" s="246"/>
      <c r="B167" s="241"/>
      <c r="C167" s="241"/>
      <c r="D167" s="255"/>
      <c r="E167" s="257"/>
      <c r="F167" s="254"/>
    </row>
    <row r="168" spans="1:6" s="234" customFormat="1" ht="23.25">
      <c r="A168" s="246"/>
      <c r="B168" s="241" t="s">
        <v>649</v>
      </c>
      <c r="C168" s="241"/>
      <c r="D168" s="255"/>
      <c r="E168" s="257"/>
      <c r="F168" s="254"/>
    </row>
    <row r="169" spans="1:6" s="234" customFormat="1" ht="23.25">
      <c r="A169" s="246"/>
      <c r="B169" s="241"/>
      <c r="C169" s="241"/>
      <c r="D169" s="255"/>
      <c r="E169" s="257"/>
      <c r="F169" s="254"/>
    </row>
    <row r="170" spans="1:6" s="234" customFormat="1" ht="50.25" customHeight="1">
      <c r="A170" s="245" t="s">
        <v>722</v>
      </c>
      <c r="B170" s="483" t="s">
        <v>723</v>
      </c>
      <c r="C170" s="483"/>
      <c r="D170" s="483"/>
      <c r="E170" s="483"/>
      <c r="F170" s="483"/>
    </row>
    <row r="171" spans="1:6" s="234" customFormat="1" ht="23.25">
      <c r="A171" s="246"/>
      <c r="B171" s="267"/>
      <c r="C171" s="267"/>
      <c r="D171" s="255"/>
      <c r="E171" s="257"/>
      <c r="F171" s="254"/>
    </row>
    <row r="172" spans="1:6" s="234" customFormat="1" ht="23.25">
      <c r="A172" s="246"/>
      <c r="B172" s="267" t="s">
        <v>724</v>
      </c>
      <c r="C172" s="281"/>
      <c r="D172" s="255"/>
      <c r="E172" s="257"/>
      <c r="F172" s="254"/>
    </row>
    <row r="173" spans="1:6" s="234" customFormat="1" ht="23.25">
      <c r="A173" s="246"/>
      <c r="B173" s="267"/>
      <c r="C173" s="267"/>
      <c r="D173" s="255"/>
      <c r="E173" s="257"/>
      <c r="F173" s="254"/>
    </row>
    <row r="174" spans="1:6" s="234" customFormat="1" ht="23.25">
      <c r="A174" s="245" t="s">
        <v>725</v>
      </c>
      <c r="B174" s="483" t="s">
        <v>738</v>
      </c>
      <c r="C174" s="483"/>
      <c r="D174" s="483"/>
      <c r="E174" s="483"/>
      <c r="F174" s="483"/>
    </row>
    <row r="175" spans="1:6" s="234" customFormat="1" ht="23.25">
      <c r="A175" s="246"/>
      <c r="B175" s="262"/>
      <c r="C175" s="262"/>
      <c r="D175" s="255"/>
      <c r="E175" s="257"/>
      <c r="F175" s="254"/>
    </row>
    <row r="176" spans="1:6" s="234" customFormat="1" ht="23.25">
      <c r="A176" s="246"/>
      <c r="B176" s="262" t="s">
        <v>739</v>
      </c>
      <c r="C176" s="281"/>
      <c r="D176" s="255"/>
      <c r="E176" s="257"/>
      <c r="F176" s="254"/>
    </row>
    <row r="177" spans="1:6" s="234" customFormat="1" ht="23.25">
      <c r="A177" s="245" t="s">
        <v>734</v>
      </c>
      <c r="B177" s="483" t="s">
        <v>741</v>
      </c>
      <c r="C177" s="483"/>
      <c r="D177" s="483"/>
      <c r="E177" s="483"/>
      <c r="F177" s="483"/>
    </row>
    <row r="178" spans="1:6" s="234" customFormat="1" ht="23.25">
      <c r="A178" s="246"/>
      <c r="B178" s="267"/>
      <c r="C178" s="267"/>
      <c r="D178" s="255"/>
      <c r="E178" s="257"/>
      <c r="F178" s="254"/>
    </row>
    <row r="179" spans="1:6" s="234" customFormat="1" ht="23.25">
      <c r="A179" s="246"/>
      <c r="B179" s="267" t="s">
        <v>740</v>
      </c>
      <c r="C179" s="281"/>
      <c r="D179" s="255"/>
      <c r="E179" s="257"/>
      <c r="F179" s="254"/>
    </row>
    <row r="180" spans="1:6" s="234" customFormat="1" ht="23.25">
      <c r="A180" s="246"/>
      <c r="B180" s="262"/>
      <c r="C180" s="262"/>
      <c r="D180" s="255"/>
      <c r="E180" s="257"/>
      <c r="F180" s="254"/>
    </row>
    <row r="181" spans="1:6" s="234" customFormat="1" ht="48" customHeight="1">
      <c r="A181" s="245" t="s">
        <v>843</v>
      </c>
      <c r="B181" s="483" t="s">
        <v>910</v>
      </c>
      <c r="C181" s="483"/>
      <c r="D181" s="483"/>
      <c r="E181" s="483"/>
      <c r="F181" s="483"/>
    </row>
    <row r="182" spans="1:6" s="234" customFormat="1" ht="23.25">
      <c r="A182" s="323"/>
      <c r="B182" s="324"/>
      <c r="C182" s="324"/>
      <c r="D182" s="255"/>
      <c r="E182" s="257"/>
      <c r="F182" s="254"/>
    </row>
    <row r="183" spans="1:7" s="234" customFormat="1" ht="53.25" customHeight="1">
      <c r="A183" s="480" t="s">
        <v>1030</v>
      </c>
      <c r="B183" s="481"/>
      <c r="C183" s="481"/>
      <c r="D183" s="481"/>
      <c r="E183" s="481"/>
      <c r="F183" s="482"/>
      <c r="G183" s="305"/>
    </row>
    <row r="184" spans="1:6" s="234" customFormat="1" ht="23.25">
      <c r="A184" s="323"/>
      <c r="B184" s="324"/>
      <c r="C184" s="324"/>
      <c r="D184" s="255"/>
      <c r="E184" s="257"/>
      <c r="F184" s="254"/>
    </row>
    <row r="185" spans="1:6" s="234" customFormat="1" ht="23.25">
      <c r="A185" s="245" t="s">
        <v>909</v>
      </c>
      <c r="B185" s="483" t="s">
        <v>936</v>
      </c>
      <c r="C185" s="483"/>
      <c r="D185" s="483"/>
      <c r="E185" s="483"/>
      <c r="F185" s="483"/>
    </row>
    <row r="186" spans="1:6" s="234" customFormat="1" ht="23.25">
      <c r="A186" s="377"/>
      <c r="B186" s="378"/>
      <c r="C186" s="378"/>
      <c r="D186" s="379"/>
      <c r="E186" s="380"/>
      <c r="F186" s="381"/>
    </row>
    <row r="187" spans="1:7" s="234" customFormat="1" ht="23.25" customHeight="1">
      <c r="A187" s="382"/>
      <c r="B187" s="375" t="s">
        <v>903</v>
      </c>
      <c r="C187" s="375"/>
      <c r="D187" s="375"/>
      <c r="E187" s="375"/>
      <c r="F187" s="376"/>
      <c r="G187" s="305"/>
    </row>
    <row r="188" spans="1:7" s="234" customFormat="1" ht="23.25">
      <c r="A188" s="390" t="s">
        <v>923</v>
      </c>
      <c r="B188" s="384" t="s">
        <v>920</v>
      </c>
      <c r="C188" s="375"/>
      <c r="D188" s="375"/>
      <c r="E188" s="375"/>
      <c r="F188" s="376"/>
      <c r="G188" s="305"/>
    </row>
    <row r="189" spans="1:7" s="234" customFormat="1" ht="23.25">
      <c r="A189" s="391"/>
      <c r="B189" s="340" t="s">
        <v>918</v>
      </c>
      <c r="C189" s="340"/>
      <c r="D189" s="340"/>
      <c r="E189" s="340"/>
      <c r="F189" s="342"/>
      <c r="G189" s="305"/>
    </row>
    <row r="190" spans="1:7" s="234" customFormat="1" ht="54" customHeight="1">
      <c r="A190" s="391"/>
      <c r="B190" s="514" t="s">
        <v>919</v>
      </c>
      <c r="C190" s="514"/>
      <c r="D190" s="514"/>
      <c r="E190" s="514"/>
      <c r="F190" s="515"/>
      <c r="G190" s="305"/>
    </row>
    <row r="191" spans="1:7" s="234" customFormat="1" ht="23.25">
      <c r="A191" s="390" t="s">
        <v>924</v>
      </c>
      <c r="B191" s="384" t="s">
        <v>921</v>
      </c>
      <c r="C191" s="375"/>
      <c r="D191" s="375"/>
      <c r="E191" s="375"/>
      <c r="F191" s="376"/>
      <c r="G191" s="305"/>
    </row>
    <row r="192" spans="1:7" s="234" customFormat="1" ht="46.5">
      <c r="A192" s="391"/>
      <c r="B192" s="340" t="s">
        <v>925</v>
      </c>
      <c r="C192" s="340"/>
      <c r="D192" s="340"/>
      <c r="E192" s="340"/>
      <c r="F192" s="342"/>
      <c r="G192" s="305"/>
    </row>
    <row r="193" spans="1:7" s="234" customFormat="1" ht="54" customHeight="1">
      <c r="A193" s="374"/>
      <c r="B193" s="514" t="s">
        <v>926</v>
      </c>
      <c r="C193" s="514"/>
      <c r="D193" s="514"/>
      <c r="E193" s="514"/>
      <c r="F193" s="515"/>
      <c r="G193" s="305"/>
    </row>
    <row r="194" spans="1:8" s="311" customFormat="1" ht="23.25">
      <c r="A194" s="385"/>
      <c r="B194" s="389" t="s">
        <v>922</v>
      </c>
      <c r="C194" s="386"/>
      <c r="D194" s="386"/>
      <c r="E194" s="386"/>
      <c r="F194" s="387"/>
      <c r="G194" s="388"/>
      <c r="H194" s="234"/>
    </row>
    <row r="195" spans="1:7" s="311" customFormat="1" ht="23.25">
      <c r="A195" s="385"/>
      <c r="B195" s="386"/>
      <c r="C195" s="386"/>
      <c r="D195" s="386"/>
      <c r="E195" s="386"/>
      <c r="F195" s="387"/>
      <c r="G195" s="388"/>
    </row>
    <row r="196" spans="1:6" s="234" customFormat="1" ht="48.75" customHeight="1">
      <c r="A196" s="245" t="s">
        <v>1020</v>
      </c>
      <c r="B196" s="483" t="s">
        <v>1025</v>
      </c>
      <c r="C196" s="483"/>
      <c r="D196" s="483"/>
      <c r="E196" s="483"/>
      <c r="F196" s="483"/>
    </row>
    <row r="197" spans="1:6" s="234" customFormat="1" ht="23.25">
      <c r="A197" s="377"/>
      <c r="B197" s="378"/>
      <c r="C197" s="378"/>
      <c r="D197" s="379"/>
      <c r="E197" s="380"/>
      <c r="F197" s="381"/>
    </row>
    <row r="198" spans="1:7" s="234" customFormat="1" ht="23.25" customHeight="1">
      <c r="A198" s="382"/>
      <c r="B198" s="375" t="s">
        <v>1026</v>
      </c>
      <c r="C198" s="375"/>
      <c r="D198" s="375"/>
      <c r="E198" s="375"/>
      <c r="F198" s="376"/>
      <c r="G198" s="305"/>
    </row>
    <row r="199" spans="1:7" s="234" customFormat="1" ht="23.25">
      <c r="A199" s="390"/>
      <c r="B199" s="384"/>
      <c r="C199" s="375"/>
      <c r="D199" s="375"/>
      <c r="E199" s="375"/>
      <c r="F199" s="376"/>
      <c r="G199" s="305"/>
    </row>
    <row r="200" spans="1:6" s="322" customFormat="1" ht="23.25">
      <c r="A200" s="244" t="s">
        <v>68</v>
      </c>
      <c r="B200" s="511" t="s">
        <v>941</v>
      </c>
      <c r="C200" s="511"/>
      <c r="D200" s="511"/>
      <c r="E200" s="511"/>
      <c r="F200" s="511"/>
    </row>
    <row r="201" spans="1:6" s="322" customFormat="1" ht="23.25">
      <c r="A201" s="245" t="s">
        <v>70</v>
      </c>
      <c r="B201" s="483" t="s">
        <v>705</v>
      </c>
      <c r="C201" s="483"/>
      <c r="D201" s="483"/>
      <c r="E201" s="483"/>
      <c r="F201" s="483"/>
    </row>
    <row r="202" spans="1:6" s="322" customFormat="1" ht="23.25">
      <c r="A202" s="358"/>
      <c r="B202" s="360"/>
      <c r="C202" s="360"/>
      <c r="D202" s="255"/>
      <c r="E202" s="257"/>
      <c r="F202" s="254"/>
    </row>
    <row r="203" spans="1:6" s="322" customFormat="1" ht="23.25">
      <c r="A203" s="358"/>
      <c r="B203" s="360" t="s">
        <v>650</v>
      </c>
      <c r="C203" s="360"/>
      <c r="D203" s="255"/>
      <c r="E203" s="257"/>
      <c r="F203" s="254"/>
    </row>
    <row r="204" spans="1:6" s="322" customFormat="1" ht="23.25">
      <c r="A204" s="358"/>
      <c r="B204" s="360"/>
      <c r="C204" s="360"/>
      <c r="D204" s="255"/>
      <c r="E204" s="257"/>
      <c r="F204" s="254"/>
    </row>
    <row r="205" spans="1:6" s="322" customFormat="1" ht="23.25">
      <c r="A205" s="245" t="s">
        <v>71</v>
      </c>
      <c r="B205" s="483" t="s">
        <v>706</v>
      </c>
      <c r="C205" s="483"/>
      <c r="D205" s="483"/>
      <c r="E205" s="483"/>
      <c r="F205" s="483"/>
    </row>
    <row r="206" spans="1:6" s="322" customFormat="1" ht="23.25">
      <c r="A206" s="358"/>
      <c r="B206" s="360"/>
      <c r="C206" s="360"/>
      <c r="D206" s="255"/>
      <c r="E206" s="257"/>
      <c r="F206" s="254"/>
    </row>
    <row r="207" spans="1:6" s="322" customFormat="1" ht="23.25">
      <c r="A207" s="358"/>
      <c r="B207" s="360" t="s">
        <v>650</v>
      </c>
      <c r="C207" s="360"/>
      <c r="D207" s="255"/>
      <c r="E207" s="257"/>
      <c r="F207" s="254"/>
    </row>
    <row r="208" spans="1:6" s="322" customFormat="1" ht="23.25">
      <c r="A208" s="358"/>
      <c r="B208" s="360"/>
      <c r="C208" s="360"/>
      <c r="D208" s="255"/>
      <c r="E208" s="257"/>
      <c r="F208" s="254"/>
    </row>
    <row r="209" spans="1:6" s="322" customFormat="1" ht="36" customHeight="1">
      <c r="A209" s="245" t="s">
        <v>72</v>
      </c>
      <c r="B209" s="483" t="s">
        <v>664</v>
      </c>
      <c r="C209" s="483"/>
      <c r="D209" s="483"/>
      <c r="E209" s="483"/>
      <c r="F209" s="483"/>
    </row>
    <row r="210" spans="1:6" s="322" customFormat="1" ht="23.25">
      <c r="A210" s="358"/>
      <c r="B210" s="360"/>
      <c r="C210" s="360"/>
      <c r="D210" s="255"/>
      <c r="E210" s="257"/>
      <c r="F210" s="254"/>
    </row>
    <row r="211" spans="1:6" s="322" customFormat="1" ht="23.25">
      <c r="A211" s="358"/>
      <c r="B211" s="360" t="s">
        <v>650</v>
      </c>
      <c r="C211" s="360"/>
      <c r="D211" s="255"/>
      <c r="E211" s="257"/>
      <c r="F211" s="254"/>
    </row>
    <row r="212" spans="1:6" s="322" customFormat="1" ht="23.25">
      <c r="A212" s="358"/>
      <c r="B212" s="360"/>
      <c r="C212" s="360"/>
      <c r="D212" s="255"/>
      <c r="E212" s="257"/>
      <c r="F212" s="254"/>
    </row>
    <row r="213" spans="1:6" s="322" customFormat="1" ht="23.25">
      <c r="A213" s="245" t="s">
        <v>227</v>
      </c>
      <c r="B213" s="483" t="s">
        <v>663</v>
      </c>
      <c r="C213" s="483"/>
      <c r="D213" s="483"/>
      <c r="E213" s="483"/>
      <c r="F213" s="483"/>
    </row>
    <row r="214" spans="1:6" s="322" customFormat="1" ht="23.25">
      <c r="A214" s="358"/>
      <c r="B214" s="360"/>
      <c r="C214" s="360"/>
      <c r="D214" s="255"/>
      <c r="E214" s="257"/>
      <c r="F214" s="254"/>
    </row>
    <row r="215" spans="1:6" s="322" customFormat="1" ht="23.25">
      <c r="A215" s="358"/>
      <c r="B215" s="360" t="s">
        <v>651</v>
      </c>
      <c r="C215" s="360"/>
      <c r="D215" s="255"/>
      <c r="E215" s="257"/>
      <c r="F215" s="254"/>
    </row>
    <row r="216" spans="1:6" s="322" customFormat="1" ht="23.25">
      <c r="A216" s="358"/>
      <c r="B216" s="360"/>
      <c r="C216" s="360"/>
      <c r="D216" s="255"/>
      <c r="E216" s="257"/>
      <c r="F216" s="254"/>
    </row>
    <row r="217" spans="1:6" s="322" customFormat="1" ht="23.25">
      <c r="A217" s="245" t="s">
        <v>228</v>
      </c>
      <c r="B217" s="483" t="s">
        <v>665</v>
      </c>
      <c r="C217" s="483"/>
      <c r="D217" s="483"/>
      <c r="E217" s="483"/>
      <c r="F217" s="483"/>
    </row>
    <row r="218" spans="1:6" s="322" customFormat="1" ht="23.25">
      <c r="A218" s="358"/>
      <c r="B218" s="360"/>
      <c r="C218" s="360"/>
      <c r="D218" s="255"/>
      <c r="E218" s="257"/>
      <c r="F218" s="254"/>
    </row>
    <row r="219" spans="1:6" s="322" customFormat="1" ht="23.25">
      <c r="A219" s="358"/>
      <c r="B219" s="360" t="s">
        <v>652</v>
      </c>
      <c r="C219" s="360"/>
      <c r="D219" s="255"/>
      <c r="E219" s="257"/>
      <c r="F219" s="254"/>
    </row>
    <row r="220" spans="1:6" s="322" customFormat="1" ht="23.25">
      <c r="A220" s="358"/>
      <c r="B220" s="360"/>
      <c r="C220" s="360"/>
      <c r="D220" s="255"/>
      <c r="E220" s="257"/>
      <c r="F220" s="254"/>
    </row>
    <row r="221" spans="1:6" s="322" customFormat="1" ht="23.25">
      <c r="A221" s="245" t="s">
        <v>229</v>
      </c>
      <c r="B221" s="483" t="s">
        <v>666</v>
      </c>
      <c r="C221" s="483"/>
      <c r="D221" s="483"/>
      <c r="E221" s="483"/>
      <c r="F221" s="483"/>
    </row>
    <row r="222" spans="1:6" s="322" customFormat="1" ht="23.25">
      <c r="A222" s="358"/>
      <c r="B222" s="360"/>
      <c r="C222" s="360"/>
      <c r="D222" s="255"/>
      <c r="E222" s="257"/>
      <c r="F222" s="254"/>
    </row>
    <row r="223" spans="1:6" s="322" customFormat="1" ht="23.25">
      <c r="A223" s="358"/>
      <c r="B223" s="360" t="s">
        <v>653</v>
      </c>
      <c r="C223" s="360"/>
      <c r="D223" s="255"/>
      <c r="E223" s="257"/>
      <c r="F223" s="254"/>
    </row>
    <row r="224" spans="1:6" s="322" customFormat="1" ht="23.25">
      <c r="A224" s="358"/>
      <c r="B224" s="360"/>
      <c r="C224" s="360"/>
      <c r="D224" s="255"/>
      <c r="E224" s="257"/>
      <c r="F224" s="254"/>
    </row>
    <row r="225" spans="1:6" s="322" customFormat="1" ht="23.25">
      <c r="A225" s="245" t="s">
        <v>230</v>
      </c>
      <c r="B225" s="483" t="s">
        <v>667</v>
      </c>
      <c r="C225" s="483"/>
      <c r="D225" s="483"/>
      <c r="E225" s="483"/>
      <c r="F225" s="483"/>
    </row>
    <row r="226" spans="1:6" s="322" customFormat="1" ht="23.25">
      <c r="A226" s="358"/>
      <c r="B226" s="360"/>
      <c r="C226" s="360"/>
      <c r="D226" s="255"/>
      <c r="E226" s="257"/>
      <c r="F226" s="254"/>
    </row>
    <row r="227" spans="1:6" s="322" customFormat="1" ht="23.25">
      <c r="A227" s="358"/>
      <c r="B227" s="360" t="s">
        <v>654</v>
      </c>
      <c r="C227" s="360"/>
      <c r="D227" s="255"/>
      <c r="E227" s="257"/>
      <c r="F227" s="254"/>
    </row>
    <row r="228" spans="1:6" s="322" customFormat="1" ht="23.25">
      <c r="A228" s="358"/>
      <c r="B228" s="360"/>
      <c r="C228" s="360"/>
      <c r="D228" s="255"/>
      <c r="E228" s="257"/>
      <c r="F228" s="254"/>
    </row>
    <row r="229" spans="1:6" s="322" customFormat="1" ht="23.25">
      <c r="A229" s="245" t="s">
        <v>231</v>
      </c>
      <c r="B229" s="483" t="s">
        <v>668</v>
      </c>
      <c r="C229" s="483"/>
      <c r="D229" s="483"/>
      <c r="E229" s="483"/>
      <c r="F229" s="483"/>
    </row>
    <row r="230" spans="1:6" s="322" customFormat="1" ht="23.25">
      <c r="A230" s="358"/>
      <c r="B230" s="360"/>
      <c r="C230" s="360"/>
      <c r="D230" s="255"/>
      <c r="E230" s="257"/>
      <c r="F230" s="254"/>
    </row>
    <row r="231" spans="1:6" s="322" customFormat="1" ht="23.25">
      <c r="A231" s="358"/>
      <c r="B231" s="360" t="s">
        <v>655</v>
      </c>
      <c r="C231" s="360"/>
      <c r="D231" s="255"/>
      <c r="E231" s="257"/>
      <c r="F231" s="254"/>
    </row>
    <row r="232" spans="1:6" s="322" customFormat="1" ht="23.25">
      <c r="A232" s="358"/>
      <c r="B232" s="360"/>
      <c r="C232" s="360"/>
      <c r="D232" s="255"/>
      <c r="E232" s="257"/>
      <c r="F232" s="254"/>
    </row>
    <row r="233" spans="1:6" s="322" customFormat="1" ht="36" customHeight="1">
      <c r="A233" s="245" t="s">
        <v>232</v>
      </c>
      <c r="B233" s="483" t="s">
        <v>669</v>
      </c>
      <c r="C233" s="483"/>
      <c r="D233" s="483"/>
      <c r="E233" s="483"/>
      <c r="F233" s="483"/>
    </row>
    <row r="234" spans="1:6" s="322" customFormat="1" ht="23.25">
      <c r="A234" s="358"/>
      <c r="B234" s="360"/>
      <c r="C234" s="360"/>
      <c r="D234" s="255"/>
      <c r="E234" s="257"/>
      <c r="F234" s="254"/>
    </row>
    <row r="235" spans="1:6" s="322" customFormat="1" ht="23.25">
      <c r="A235" s="358"/>
      <c r="B235" s="360" t="s">
        <v>655</v>
      </c>
      <c r="C235" s="360"/>
      <c r="D235" s="255"/>
      <c r="E235" s="257"/>
      <c r="F235" s="254"/>
    </row>
    <row r="236" spans="1:6" s="322" customFormat="1" ht="23.25">
      <c r="A236" s="358"/>
      <c r="B236" s="360"/>
      <c r="C236" s="360"/>
      <c r="D236" s="255"/>
      <c r="E236" s="257"/>
      <c r="F236" s="254"/>
    </row>
    <row r="237" spans="1:6" s="322" customFormat="1" ht="36" customHeight="1">
      <c r="A237" s="245" t="s">
        <v>250</v>
      </c>
      <c r="B237" s="483" t="s">
        <v>670</v>
      </c>
      <c r="C237" s="483"/>
      <c r="D237" s="483"/>
      <c r="E237" s="483"/>
      <c r="F237" s="483"/>
    </row>
    <row r="238" spans="1:6" s="322" customFormat="1" ht="23.25">
      <c r="A238" s="358"/>
      <c r="B238" s="360"/>
      <c r="C238" s="360"/>
      <c r="D238" s="255"/>
      <c r="E238" s="257"/>
      <c r="F238" s="254"/>
    </row>
    <row r="239" spans="1:6" s="322" customFormat="1" ht="23.25">
      <c r="A239" s="358"/>
      <c r="B239" s="360" t="s">
        <v>656</v>
      </c>
      <c r="C239" s="360"/>
      <c r="D239" s="255"/>
      <c r="E239" s="257"/>
      <c r="F239" s="254"/>
    </row>
    <row r="240" spans="1:6" s="322" customFormat="1" ht="23.25">
      <c r="A240" s="358"/>
      <c r="B240" s="360"/>
      <c r="C240" s="360"/>
      <c r="D240" s="255"/>
      <c r="E240" s="257"/>
      <c r="F240" s="254"/>
    </row>
    <row r="241" spans="1:6" s="322" customFormat="1" ht="36" customHeight="1">
      <c r="A241" s="245" t="s">
        <v>253</v>
      </c>
      <c r="B241" s="483" t="s">
        <v>671</v>
      </c>
      <c r="C241" s="483"/>
      <c r="D241" s="483"/>
      <c r="E241" s="483"/>
      <c r="F241" s="483"/>
    </row>
    <row r="242" spans="1:6" s="322" customFormat="1" ht="23.25">
      <c r="A242" s="358"/>
      <c r="B242" s="360"/>
      <c r="C242" s="360"/>
      <c r="D242" s="255"/>
      <c r="E242" s="257"/>
      <c r="F242" s="254"/>
    </row>
    <row r="243" spans="1:6" s="322" customFormat="1" ht="23.25">
      <c r="A243" s="358"/>
      <c r="B243" s="360" t="s">
        <v>655</v>
      </c>
      <c r="C243" s="360"/>
      <c r="D243" s="255"/>
      <c r="E243" s="257"/>
      <c r="F243" s="254"/>
    </row>
    <row r="244" spans="1:6" s="322" customFormat="1" ht="23.25">
      <c r="A244" s="358"/>
      <c r="B244" s="360"/>
      <c r="C244" s="360"/>
      <c r="D244" s="255"/>
      <c r="E244" s="257"/>
      <c r="F244" s="254"/>
    </row>
    <row r="245" spans="1:6" s="322" customFormat="1" ht="36" customHeight="1">
      <c r="A245" s="245" t="s">
        <v>260</v>
      </c>
      <c r="B245" s="483" t="s">
        <v>672</v>
      </c>
      <c r="C245" s="483"/>
      <c r="D245" s="483"/>
      <c r="E245" s="483"/>
      <c r="F245" s="483"/>
    </row>
    <row r="246" spans="1:6" s="322" customFormat="1" ht="23.25">
      <c r="A246" s="358"/>
      <c r="B246" s="360"/>
      <c r="C246" s="360"/>
      <c r="D246" s="255"/>
      <c r="E246" s="257"/>
      <c r="F246" s="254"/>
    </row>
    <row r="247" spans="1:6" s="322" customFormat="1" ht="23.25">
      <c r="A247" s="358"/>
      <c r="B247" s="360" t="s">
        <v>657</v>
      </c>
      <c r="C247" s="360"/>
      <c r="D247" s="255"/>
      <c r="E247" s="257"/>
      <c r="F247" s="254"/>
    </row>
    <row r="248" spans="1:6" s="322" customFormat="1" ht="23.25">
      <c r="A248" s="358"/>
      <c r="B248" s="360"/>
      <c r="C248" s="360"/>
      <c r="D248" s="255"/>
      <c r="E248" s="257"/>
      <c r="F248" s="254"/>
    </row>
    <row r="249" spans="1:6" s="322" customFormat="1" ht="23.25">
      <c r="A249" s="245" t="s">
        <v>261</v>
      </c>
      <c r="B249" s="483" t="s">
        <v>661</v>
      </c>
      <c r="C249" s="483"/>
      <c r="D249" s="483"/>
      <c r="E249" s="483"/>
      <c r="F249" s="483"/>
    </row>
    <row r="250" spans="1:6" s="322" customFormat="1" ht="23.25">
      <c r="A250" s="358"/>
      <c r="B250" s="360"/>
      <c r="C250" s="360"/>
      <c r="D250" s="255"/>
      <c r="E250" s="257"/>
      <c r="F250" s="254"/>
    </row>
    <row r="251" spans="1:6" s="322" customFormat="1" ht="23.25">
      <c r="A251" s="358"/>
      <c r="B251" s="360" t="s">
        <v>657</v>
      </c>
      <c r="C251" s="360"/>
      <c r="D251" s="255"/>
      <c r="E251" s="257"/>
      <c r="F251" s="254"/>
    </row>
    <row r="252" spans="1:6" s="322" customFormat="1" ht="23.25">
      <c r="A252" s="358"/>
      <c r="B252" s="360"/>
      <c r="C252" s="360"/>
      <c r="D252" s="255"/>
      <c r="E252" s="257"/>
      <c r="F252" s="254"/>
    </row>
    <row r="253" spans="1:6" s="322" customFormat="1" ht="23.25">
      <c r="A253" s="245" t="s">
        <v>262</v>
      </c>
      <c r="B253" s="483" t="s">
        <v>662</v>
      </c>
      <c r="C253" s="483"/>
      <c r="D253" s="483"/>
      <c r="E253" s="483"/>
      <c r="F253" s="483"/>
    </row>
    <row r="254" spans="1:6" s="322" customFormat="1" ht="23.25">
      <c r="A254" s="358"/>
      <c r="B254" s="360"/>
      <c r="C254" s="360"/>
      <c r="D254" s="255"/>
      <c r="E254" s="257"/>
      <c r="F254" s="254"/>
    </row>
    <row r="255" spans="1:6" s="322" customFormat="1" ht="23.25">
      <c r="A255" s="358"/>
      <c r="B255" s="360" t="s">
        <v>658</v>
      </c>
      <c r="C255" s="360"/>
      <c r="D255" s="255"/>
      <c r="E255" s="257"/>
      <c r="F255" s="254"/>
    </row>
    <row r="256" spans="1:6" s="322" customFormat="1" ht="23.25">
      <c r="A256" s="358"/>
      <c r="B256" s="360"/>
      <c r="C256" s="360"/>
      <c r="D256" s="255"/>
      <c r="E256" s="257"/>
      <c r="F256" s="254"/>
    </row>
    <row r="257" spans="1:6" s="322" customFormat="1" ht="23.25">
      <c r="A257" s="245" t="s">
        <v>265</v>
      </c>
      <c r="B257" s="483" t="s">
        <v>673</v>
      </c>
      <c r="C257" s="483"/>
      <c r="D257" s="483"/>
      <c r="E257" s="483"/>
      <c r="F257" s="483"/>
    </row>
    <row r="258" spans="1:6" s="322" customFormat="1" ht="23.25">
      <c r="A258" s="358"/>
      <c r="B258" s="360"/>
      <c r="C258" s="360"/>
      <c r="D258" s="255"/>
      <c r="E258" s="257"/>
      <c r="F258" s="254"/>
    </row>
    <row r="259" spans="1:6" s="322" customFormat="1" ht="23.25">
      <c r="A259" s="358"/>
      <c r="B259" s="360" t="s">
        <v>656</v>
      </c>
      <c r="C259" s="360"/>
      <c r="D259" s="255"/>
      <c r="E259" s="257"/>
      <c r="F259" s="254"/>
    </row>
    <row r="260" spans="1:6" s="322" customFormat="1" ht="23.25">
      <c r="A260" s="358"/>
      <c r="B260" s="360"/>
      <c r="C260" s="360"/>
      <c r="D260" s="255"/>
      <c r="E260" s="257"/>
      <c r="F260" s="254"/>
    </row>
    <row r="261" spans="1:6" s="322" customFormat="1" ht="36" customHeight="1">
      <c r="A261" s="245" t="s">
        <v>266</v>
      </c>
      <c r="B261" s="483" t="s">
        <v>674</v>
      </c>
      <c r="C261" s="483"/>
      <c r="D261" s="483"/>
      <c r="E261" s="483"/>
      <c r="F261" s="483"/>
    </row>
    <row r="262" spans="1:6" s="322" customFormat="1" ht="23.25">
      <c r="A262" s="358"/>
      <c r="B262" s="360"/>
      <c r="C262" s="360"/>
      <c r="D262" s="255"/>
      <c r="E262" s="257"/>
      <c r="F262" s="254"/>
    </row>
    <row r="263" spans="1:6" s="322" customFormat="1" ht="23.25">
      <c r="A263" s="358"/>
      <c r="B263" s="360" t="s">
        <v>655</v>
      </c>
      <c r="C263" s="360"/>
      <c r="D263" s="255"/>
      <c r="E263" s="257"/>
      <c r="F263" s="254"/>
    </row>
    <row r="264" spans="1:6" s="322" customFormat="1" ht="23.25">
      <c r="A264" s="358"/>
      <c r="B264" s="360"/>
      <c r="C264" s="360"/>
      <c r="D264" s="255"/>
      <c r="E264" s="257"/>
      <c r="F264" s="254"/>
    </row>
    <row r="265" spans="1:6" s="322" customFormat="1" ht="36" customHeight="1">
      <c r="A265" s="245" t="s">
        <v>267</v>
      </c>
      <c r="B265" s="483" t="s">
        <v>675</v>
      </c>
      <c r="C265" s="483"/>
      <c r="D265" s="483"/>
      <c r="E265" s="483"/>
      <c r="F265" s="483"/>
    </row>
    <row r="266" spans="1:6" s="322" customFormat="1" ht="23.25">
      <c r="A266" s="358"/>
      <c r="B266" s="360"/>
      <c r="C266" s="360"/>
      <c r="D266" s="255"/>
      <c r="E266" s="257"/>
      <c r="F266" s="254"/>
    </row>
    <row r="267" spans="1:6" s="322" customFormat="1" ht="23.25">
      <c r="A267" s="358"/>
      <c r="B267" s="360" t="s">
        <v>655</v>
      </c>
      <c r="C267" s="360"/>
      <c r="D267" s="255"/>
      <c r="E267" s="257"/>
      <c r="F267" s="254"/>
    </row>
    <row r="268" spans="1:6" s="322" customFormat="1" ht="23.25">
      <c r="A268" s="358"/>
      <c r="B268" s="360"/>
      <c r="C268" s="360"/>
      <c r="D268" s="255"/>
      <c r="E268" s="257"/>
      <c r="F268" s="254"/>
    </row>
    <row r="269" spans="1:6" s="322" customFormat="1" ht="36" customHeight="1">
      <c r="A269" s="245" t="s">
        <v>268</v>
      </c>
      <c r="B269" s="483" t="s">
        <v>676</v>
      </c>
      <c r="C269" s="483"/>
      <c r="D269" s="483"/>
      <c r="E269" s="483"/>
      <c r="F269" s="483"/>
    </row>
    <row r="270" spans="1:6" s="322" customFormat="1" ht="23.25">
      <c r="A270" s="358"/>
      <c r="B270" s="360"/>
      <c r="C270" s="360"/>
      <c r="D270" s="255"/>
      <c r="E270" s="257"/>
      <c r="F270" s="254"/>
    </row>
    <row r="271" spans="1:6" s="322" customFormat="1" ht="23.25">
      <c r="A271" s="358"/>
      <c r="B271" s="360" t="s">
        <v>658</v>
      </c>
      <c r="C271" s="360"/>
      <c r="D271" s="255"/>
      <c r="E271" s="257"/>
      <c r="F271" s="254"/>
    </row>
    <row r="272" spans="1:6" s="322" customFormat="1" ht="23.25">
      <c r="A272" s="358"/>
      <c r="B272" s="360"/>
      <c r="C272" s="360"/>
      <c r="D272" s="255"/>
      <c r="E272" s="257"/>
      <c r="F272" s="254"/>
    </row>
    <row r="273" spans="1:6" s="322" customFormat="1" ht="36" customHeight="1">
      <c r="A273" s="245" t="s">
        <v>269</v>
      </c>
      <c r="B273" s="483" t="s">
        <v>677</v>
      </c>
      <c r="C273" s="483"/>
      <c r="D273" s="483"/>
      <c r="E273" s="483"/>
      <c r="F273" s="483"/>
    </row>
    <row r="274" spans="1:6" s="322" customFormat="1" ht="23.25">
      <c r="A274" s="358"/>
      <c r="B274" s="360"/>
      <c r="C274" s="360"/>
      <c r="D274" s="255"/>
      <c r="E274" s="257"/>
      <c r="F274" s="254"/>
    </row>
    <row r="275" spans="1:6" s="322" customFormat="1" ht="23.25">
      <c r="A275" s="358"/>
      <c r="B275" s="360" t="s">
        <v>658</v>
      </c>
      <c r="C275" s="360"/>
      <c r="D275" s="255"/>
      <c r="E275" s="257"/>
      <c r="F275" s="254"/>
    </row>
    <row r="276" spans="1:6" s="322" customFormat="1" ht="23.25">
      <c r="A276" s="358"/>
      <c r="B276" s="360"/>
      <c r="C276" s="360"/>
      <c r="D276" s="255"/>
      <c r="E276" s="257"/>
      <c r="F276" s="254"/>
    </row>
    <row r="277" spans="1:6" s="322" customFormat="1" ht="23.25">
      <c r="A277" s="244" t="s">
        <v>178</v>
      </c>
      <c r="B277" s="511" t="s">
        <v>357</v>
      </c>
      <c r="C277" s="511"/>
      <c r="D277" s="511"/>
      <c r="E277" s="511"/>
      <c r="F277" s="511"/>
    </row>
    <row r="278" spans="1:6" s="322" customFormat="1" ht="36" customHeight="1">
      <c r="A278" s="245" t="s">
        <v>179</v>
      </c>
      <c r="B278" s="483" t="s">
        <v>358</v>
      </c>
      <c r="C278" s="483"/>
      <c r="D278" s="483"/>
      <c r="E278" s="483"/>
      <c r="F278" s="483"/>
    </row>
    <row r="279" spans="1:6" s="322" customFormat="1" ht="23.25">
      <c r="A279" s="358"/>
      <c r="B279" s="360"/>
      <c r="C279" s="360"/>
      <c r="D279" s="255"/>
      <c r="E279" s="257"/>
      <c r="F279" s="254"/>
    </row>
    <row r="280" spans="1:6" s="322" customFormat="1" ht="23.25">
      <c r="A280" s="358"/>
      <c r="B280" s="360" t="s">
        <v>903</v>
      </c>
      <c r="C280" s="360"/>
      <c r="D280" s="255"/>
      <c r="E280" s="257"/>
      <c r="F280" s="254"/>
    </row>
    <row r="281" spans="1:6" s="322" customFormat="1" ht="23.25">
      <c r="A281" s="358"/>
      <c r="B281" s="360" t="s">
        <v>897</v>
      </c>
      <c r="C281" s="360"/>
      <c r="D281" s="255"/>
      <c r="E281" s="257"/>
      <c r="F281" s="254"/>
    </row>
    <row r="282" spans="1:6" s="322" customFormat="1" ht="23.25">
      <c r="A282" s="358"/>
      <c r="B282" s="360" t="s">
        <v>898</v>
      </c>
      <c r="C282" s="360"/>
      <c r="D282" s="255"/>
      <c r="E282" s="257"/>
      <c r="F282" s="254"/>
    </row>
    <row r="283" spans="1:6" s="322" customFormat="1" ht="23.25">
      <c r="A283" s="358"/>
      <c r="B283" s="360" t="s">
        <v>899</v>
      </c>
      <c r="C283" s="360"/>
      <c r="D283" s="255"/>
      <c r="E283" s="257"/>
      <c r="F283" s="254"/>
    </row>
    <row r="284" spans="1:6" s="322" customFormat="1" ht="23.25">
      <c r="A284" s="358"/>
      <c r="B284" s="360" t="s">
        <v>900</v>
      </c>
      <c r="C284" s="360"/>
      <c r="D284" s="255"/>
      <c r="E284" s="257"/>
      <c r="F284" s="254"/>
    </row>
    <row r="285" spans="1:6" s="322" customFormat="1" ht="23.25">
      <c r="A285" s="358"/>
      <c r="B285" s="514" t="s">
        <v>901</v>
      </c>
      <c r="C285" s="514"/>
      <c r="D285" s="514"/>
      <c r="E285" s="514"/>
      <c r="F285" s="254"/>
    </row>
    <row r="286" spans="1:6" s="429" customFormat="1" ht="23.25">
      <c r="A286" s="359"/>
      <c r="B286" s="389" t="s">
        <v>902</v>
      </c>
      <c r="C286" s="386"/>
      <c r="D286" s="386"/>
      <c r="E286" s="386"/>
      <c r="F286" s="428"/>
    </row>
    <row r="287" spans="1:6" s="322" customFormat="1" ht="23.25">
      <c r="A287" s="358"/>
      <c r="B287" s="360"/>
      <c r="C287" s="360"/>
      <c r="D287" s="255"/>
      <c r="E287" s="257"/>
      <c r="F287" s="254"/>
    </row>
    <row r="288" spans="1:6" s="322" customFormat="1" ht="36" customHeight="1">
      <c r="A288" s="245" t="s">
        <v>180</v>
      </c>
      <c r="B288" s="483" t="s">
        <v>929</v>
      </c>
      <c r="C288" s="483"/>
      <c r="D288" s="483"/>
      <c r="E288" s="483"/>
      <c r="F288" s="483"/>
    </row>
    <row r="289" spans="1:6" s="322" customFormat="1" ht="23.25">
      <c r="A289" s="358"/>
      <c r="B289" s="360"/>
      <c r="C289" s="360"/>
      <c r="D289" s="255"/>
      <c r="E289" s="257"/>
      <c r="F289" s="254"/>
    </row>
    <row r="290" spans="1:7" s="322" customFormat="1" ht="23.25" customHeight="1">
      <c r="A290" s="430"/>
      <c r="B290" s="375" t="s">
        <v>927</v>
      </c>
      <c r="C290" s="375"/>
      <c r="D290" s="375"/>
      <c r="E290" s="375"/>
      <c r="F290" s="376"/>
      <c r="G290" s="431"/>
    </row>
    <row r="291" spans="1:7" s="322" customFormat="1" ht="23.25">
      <c r="A291" s="432" t="s">
        <v>923</v>
      </c>
      <c r="B291" s="384" t="s">
        <v>920</v>
      </c>
      <c r="C291" s="375"/>
      <c r="D291" s="375"/>
      <c r="E291" s="375"/>
      <c r="F291" s="376"/>
      <c r="G291" s="431"/>
    </row>
    <row r="292" spans="1:7" s="322" customFormat="1" ht="23.25">
      <c r="A292" s="391"/>
      <c r="B292" s="361" t="s">
        <v>918</v>
      </c>
      <c r="C292" s="361"/>
      <c r="D292" s="361"/>
      <c r="E292" s="361"/>
      <c r="F292" s="362"/>
      <c r="G292" s="431"/>
    </row>
    <row r="293" spans="1:7" s="322" customFormat="1" ht="54" customHeight="1">
      <c r="A293" s="391"/>
      <c r="B293" s="514" t="s">
        <v>919</v>
      </c>
      <c r="C293" s="514"/>
      <c r="D293" s="514"/>
      <c r="E293" s="514"/>
      <c r="F293" s="515"/>
      <c r="G293" s="431"/>
    </row>
    <row r="294" spans="1:7" s="234" customFormat="1" ht="23.25">
      <c r="A294" s="390" t="s">
        <v>924</v>
      </c>
      <c r="B294" s="384" t="s">
        <v>921</v>
      </c>
      <c r="C294" s="375"/>
      <c r="D294" s="375"/>
      <c r="E294" s="375"/>
      <c r="F294" s="376"/>
      <c r="G294" s="305"/>
    </row>
    <row r="295" spans="1:7" s="234" customFormat="1" ht="46.5">
      <c r="A295" s="391"/>
      <c r="B295" s="340" t="s">
        <v>925</v>
      </c>
      <c r="C295" s="340"/>
      <c r="D295" s="340"/>
      <c r="E295" s="340"/>
      <c r="F295" s="342"/>
      <c r="G295" s="305"/>
    </row>
    <row r="296" spans="1:7" s="234" customFormat="1" ht="54" customHeight="1">
      <c r="A296" s="374"/>
      <c r="B296" s="514" t="s">
        <v>926</v>
      </c>
      <c r="C296" s="514"/>
      <c r="D296" s="514"/>
      <c r="E296" s="514"/>
      <c r="F296" s="515"/>
      <c r="G296" s="305"/>
    </row>
    <row r="297" spans="1:8" s="311" customFormat="1" ht="23.25">
      <c r="A297" s="385"/>
      <c r="B297" s="389" t="s">
        <v>928</v>
      </c>
      <c r="C297" s="386"/>
      <c r="D297" s="386"/>
      <c r="E297" s="386"/>
      <c r="F297" s="387"/>
      <c r="G297" s="388"/>
      <c r="H297" s="234"/>
    </row>
    <row r="298" spans="1:8" s="311" customFormat="1" ht="23.25">
      <c r="A298" s="385"/>
      <c r="B298" s="389"/>
      <c r="C298" s="386"/>
      <c r="D298" s="386"/>
      <c r="E298" s="386"/>
      <c r="F298" s="387"/>
      <c r="G298" s="388"/>
      <c r="H298" s="234"/>
    </row>
    <row r="299" spans="1:6" s="363" customFormat="1" ht="72" customHeight="1">
      <c r="A299" s="365"/>
      <c r="B299" s="521" t="s">
        <v>942</v>
      </c>
      <c r="C299" s="521"/>
      <c r="D299" s="521"/>
      <c r="E299" s="521"/>
      <c r="F299" s="522"/>
    </row>
    <row r="300" spans="1:6" s="363" customFormat="1" ht="23.25">
      <c r="A300" s="365"/>
      <c r="B300" s="366"/>
      <c r="C300" s="366"/>
      <c r="D300" s="366"/>
      <c r="E300" s="366"/>
      <c r="F300" s="370"/>
    </row>
    <row r="301" spans="1:6" s="363" customFormat="1" ht="23.25">
      <c r="A301" s="364" t="s">
        <v>439</v>
      </c>
      <c r="B301" s="517" t="s">
        <v>678</v>
      </c>
      <c r="C301" s="517"/>
      <c r="D301" s="517"/>
      <c r="E301" s="517"/>
      <c r="F301" s="517"/>
    </row>
    <row r="302" spans="1:6" s="363" customFormat="1" ht="23.25">
      <c r="A302" s="365"/>
      <c r="B302" s="366"/>
      <c r="C302" s="366"/>
      <c r="D302" s="367"/>
      <c r="E302" s="368"/>
      <c r="F302" s="369"/>
    </row>
    <row r="303" spans="1:6" s="363" customFormat="1" ht="23.25">
      <c r="A303" s="365"/>
      <c r="B303" s="366" t="s">
        <v>930</v>
      </c>
      <c r="C303" s="366"/>
      <c r="D303" s="367"/>
      <c r="E303" s="368"/>
      <c r="F303" s="369"/>
    </row>
    <row r="304" spans="1:6" s="363" customFormat="1" ht="23.25">
      <c r="A304" s="365"/>
      <c r="B304" s="366" t="s">
        <v>931</v>
      </c>
      <c r="C304" s="366"/>
      <c r="D304" s="367"/>
      <c r="E304" s="368"/>
      <c r="F304" s="369"/>
    </row>
    <row r="305" spans="1:8" s="363" customFormat="1" ht="23.25">
      <c r="A305" s="365"/>
      <c r="B305" s="523" t="s">
        <v>932</v>
      </c>
      <c r="C305" s="523"/>
      <c r="D305" s="523"/>
      <c r="E305" s="523"/>
      <c r="F305" s="524"/>
      <c r="H305" s="393"/>
    </row>
    <row r="306" spans="1:6" s="363" customFormat="1" ht="23.25">
      <c r="A306" s="365"/>
      <c r="B306" s="523" t="s">
        <v>933</v>
      </c>
      <c r="C306" s="523"/>
      <c r="D306" s="523"/>
      <c r="E306" s="523"/>
      <c r="F306" s="524"/>
    </row>
    <row r="307" spans="1:6" s="363" customFormat="1" ht="23.25">
      <c r="A307" s="365"/>
      <c r="B307" s="371" t="s">
        <v>934</v>
      </c>
      <c r="C307" s="371"/>
      <c r="D307" s="371"/>
      <c r="E307" s="371"/>
      <c r="F307" s="392"/>
    </row>
    <row r="308" spans="1:6" s="373" customFormat="1" ht="23.25">
      <c r="A308" s="372"/>
      <c r="B308" s="518" t="s">
        <v>935</v>
      </c>
      <c r="C308" s="519"/>
      <c r="D308" s="519"/>
      <c r="E308" s="519"/>
      <c r="F308" s="520"/>
    </row>
    <row r="309" spans="1:6" s="363" customFormat="1" ht="23.25">
      <c r="A309" s="365"/>
      <c r="B309" s="366"/>
      <c r="C309" s="366"/>
      <c r="D309" s="366"/>
      <c r="E309" s="366"/>
      <c r="F309" s="370"/>
    </row>
    <row r="310" spans="1:6" s="234" customFormat="1" ht="23.25">
      <c r="A310" s="244" t="s">
        <v>233</v>
      </c>
      <c r="B310" s="511" t="s">
        <v>277</v>
      </c>
      <c r="C310" s="511"/>
      <c r="D310" s="511"/>
      <c r="E310" s="511"/>
      <c r="F310" s="511"/>
    </row>
    <row r="311" spans="1:6" s="234" customFormat="1" ht="23.25">
      <c r="A311" s="245" t="s">
        <v>234</v>
      </c>
      <c r="B311" s="483" t="s">
        <v>359</v>
      </c>
      <c r="C311" s="483"/>
      <c r="D311" s="483"/>
      <c r="E311" s="483"/>
      <c r="F311" s="483"/>
    </row>
    <row r="312" spans="1:6" s="234" customFormat="1" ht="23.25">
      <c r="A312" s="246"/>
      <c r="B312" s="241"/>
      <c r="C312" s="241"/>
      <c r="D312" s="255"/>
      <c r="E312" s="257"/>
      <c r="F312" s="254"/>
    </row>
    <row r="313" spans="1:6" s="234" customFormat="1" ht="36" customHeight="1">
      <c r="A313" s="246"/>
      <c r="B313" s="484" t="s">
        <v>847</v>
      </c>
      <c r="C313" s="484"/>
      <c r="D313" s="484"/>
      <c r="E313" s="484"/>
      <c r="F313" s="485"/>
    </row>
    <row r="314" spans="1:6" s="234" customFormat="1" ht="36" customHeight="1">
      <c r="A314" s="246"/>
      <c r="B314" s="484" t="s">
        <v>848</v>
      </c>
      <c r="C314" s="484"/>
      <c r="D314" s="484"/>
      <c r="E314" s="484"/>
      <c r="F314" s="485"/>
    </row>
    <row r="315" spans="1:6" s="234" customFormat="1" ht="36" customHeight="1">
      <c r="A315" s="246"/>
      <c r="B315" s="306" t="s">
        <v>849</v>
      </c>
      <c r="C315" s="283"/>
      <c r="D315" s="283"/>
      <c r="E315" s="283"/>
      <c r="F315" s="284"/>
    </row>
    <row r="316" spans="1:6" s="234" customFormat="1" ht="23.25">
      <c r="A316" s="246"/>
      <c r="B316" s="241"/>
      <c r="C316" s="241"/>
      <c r="D316" s="255"/>
      <c r="E316" s="257"/>
      <c r="F316" s="254"/>
    </row>
    <row r="317" spans="1:6" s="234" customFormat="1" ht="23.25">
      <c r="A317" s="245" t="s">
        <v>235</v>
      </c>
      <c r="B317" s="483" t="s">
        <v>679</v>
      </c>
      <c r="C317" s="483"/>
      <c r="D317" s="483"/>
      <c r="E317" s="483"/>
      <c r="F317" s="483"/>
    </row>
    <row r="318" spans="1:6" s="234" customFormat="1" ht="23.25">
      <c r="A318" s="246"/>
      <c r="B318" s="241"/>
      <c r="C318" s="241"/>
      <c r="D318" s="255"/>
      <c r="E318" s="257"/>
      <c r="F318" s="254"/>
    </row>
    <row r="319" spans="1:6" s="234" customFormat="1" ht="23.25">
      <c r="A319" s="246"/>
      <c r="B319" s="241" t="s">
        <v>659</v>
      </c>
      <c r="C319" s="241"/>
      <c r="D319" s="255"/>
      <c r="E319" s="257"/>
      <c r="F319" s="254"/>
    </row>
    <row r="320" spans="1:6" s="234" customFormat="1" ht="23.25">
      <c r="A320" s="246"/>
      <c r="B320" s="241"/>
      <c r="C320" s="241"/>
      <c r="D320" s="255"/>
      <c r="E320" s="257"/>
      <c r="F320" s="254"/>
    </row>
    <row r="321" spans="1:6" s="234" customFormat="1" ht="23.25">
      <c r="A321" s="245" t="s">
        <v>460</v>
      </c>
      <c r="B321" s="483" t="s">
        <v>680</v>
      </c>
      <c r="C321" s="483"/>
      <c r="D321" s="483"/>
      <c r="E321" s="483"/>
      <c r="F321" s="483"/>
    </row>
    <row r="322" spans="1:6" s="234" customFormat="1" ht="23.25">
      <c r="A322" s="248"/>
      <c r="B322" s="249"/>
      <c r="C322" s="249"/>
      <c r="D322" s="249"/>
      <c r="E322" s="249"/>
      <c r="F322" s="258"/>
    </row>
    <row r="323" spans="1:6" s="234" customFormat="1" ht="54" customHeight="1">
      <c r="A323" s="248"/>
      <c r="B323" s="525" t="s">
        <v>1019</v>
      </c>
      <c r="C323" s="525"/>
      <c r="D323" s="525"/>
      <c r="E323" s="525"/>
      <c r="F323" s="526"/>
    </row>
    <row r="324" spans="1:6" s="234" customFormat="1" ht="23.25">
      <c r="A324" s="248"/>
      <c r="B324" s="249"/>
      <c r="C324" s="249"/>
      <c r="D324" s="249"/>
      <c r="E324" s="249"/>
      <c r="F324" s="258"/>
    </row>
    <row r="325" spans="1:6" s="322" customFormat="1" ht="23.25">
      <c r="A325" s="244" t="s">
        <v>278</v>
      </c>
      <c r="B325" s="511" t="s">
        <v>360</v>
      </c>
      <c r="C325" s="511"/>
      <c r="D325" s="511"/>
      <c r="E325" s="511"/>
      <c r="F325" s="511"/>
    </row>
    <row r="326" spans="1:6" s="322" customFormat="1" ht="23.25">
      <c r="A326" s="245" t="s">
        <v>279</v>
      </c>
      <c r="B326" s="483" t="s">
        <v>681</v>
      </c>
      <c r="C326" s="483"/>
      <c r="D326" s="483"/>
      <c r="E326" s="483"/>
      <c r="F326" s="483"/>
    </row>
    <row r="327" spans="1:7" s="322" customFormat="1" ht="23.25">
      <c r="A327" s="323"/>
      <c r="B327" s="324"/>
      <c r="C327" s="324"/>
      <c r="D327" s="255"/>
      <c r="E327" s="253"/>
      <c r="F327" s="254"/>
      <c r="G327" s="322">
        <f>14.63-9.75</f>
        <v>4.880000000000001</v>
      </c>
    </row>
    <row r="328" spans="1:8" s="322" customFormat="1" ht="90" customHeight="1">
      <c r="A328" s="323"/>
      <c r="B328" s="484" t="s">
        <v>943</v>
      </c>
      <c r="C328" s="484"/>
      <c r="D328" s="484"/>
      <c r="E328" s="484"/>
      <c r="F328" s="485"/>
      <c r="G328" s="322">
        <f>(48.74*1.8)+(0.69*2.5)+(2.62*1.8)+(5.58*2.3)+(4.88*1.8)+(7.35*1.8)</f>
        <v>129.021</v>
      </c>
      <c r="H328" s="322">
        <f>G328*1.2</f>
        <v>154.82519999999997</v>
      </c>
    </row>
    <row r="329" spans="1:6" s="322" customFormat="1" ht="23.25">
      <c r="A329" s="323"/>
      <c r="B329" s="324"/>
      <c r="C329" s="324"/>
      <c r="D329" s="255"/>
      <c r="E329" s="253"/>
      <c r="F329" s="254"/>
    </row>
    <row r="330" spans="1:6" s="322" customFormat="1" ht="23.25">
      <c r="A330" s="245" t="s">
        <v>280</v>
      </c>
      <c r="B330" s="483" t="s">
        <v>682</v>
      </c>
      <c r="C330" s="483"/>
      <c r="D330" s="483"/>
      <c r="E330" s="483"/>
      <c r="F330" s="483"/>
    </row>
    <row r="331" spans="1:6" s="322" customFormat="1" ht="23.25">
      <c r="A331" s="323"/>
      <c r="B331" s="324"/>
      <c r="C331" s="324"/>
      <c r="D331" s="255"/>
      <c r="E331" s="253"/>
      <c r="F331" s="254"/>
    </row>
    <row r="332" spans="1:7" s="322" customFormat="1" ht="23.25">
      <c r="A332" s="323"/>
      <c r="B332" s="324" t="s">
        <v>944</v>
      </c>
      <c r="C332" s="324"/>
      <c r="D332" s="255"/>
      <c r="E332" s="253"/>
      <c r="F332" s="254"/>
      <c r="G332" s="344">
        <f>154.82*28</f>
        <v>4334.96</v>
      </c>
    </row>
    <row r="333" spans="1:6" s="322" customFormat="1" ht="23.25">
      <c r="A333" s="323"/>
      <c r="B333" s="324"/>
      <c r="C333" s="324"/>
      <c r="D333" s="255"/>
      <c r="E333" s="253"/>
      <c r="F333" s="254"/>
    </row>
    <row r="334" spans="1:6" s="322" customFormat="1" ht="54" customHeight="1">
      <c r="A334" s="245" t="s">
        <v>281</v>
      </c>
      <c r="B334" s="483" t="s">
        <v>683</v>
      </c>
      <c r="C334" s="483"/>
      <c r="D334" s="483"/>
      <c r="E334" s="483"/>
      <c r="F334" s="483"/>
    </row>
    <row r="335" spans="1:6" s="322" customFormat="1" ht="23.25">
      <c r="A335" s="323"/>
      <c r="B335" s="324"/>
      <c r="C335" s="324"/>
      <c r="D335" s="255"/>
      <c r="E335" s="253"/>
      <c r="F335" s="254"/>
    </row>
    <row r="336" spans="1:7" s="322" customFormat="1" ht="54" customHeight="1">
      <c r="A336" s="480" t="s">
        <v>945</v>
      </c>
      <c r="B336" s="481"/>
      <c r="C336" s="481"/>
      <c r="D336" s="481"/>
      <c r="E336" s="481"/>
      <c r="F336" s="482"/>
      <c r="G336" s="322">
        <f>(48.74+0.69+2.62+5.58+4.88+7.35)*1.2</f>
        <v>83.832</v>
      </c>
    </row>
    <row r="337" spans="1:6" s="322" customFormat="1" ht="23.25">
      <c r="A337" s="323"/>
      <c r="B337" s="324"/>
      <c r="C337" s="324"/>
      <c r="D337" s="255"/>
      <c r="E337" s="253"/>
      <c r="F337" s="254"/>
    </row>
    <row r="338" spans="1:6" s="322" customFormat="1" ht="23.25">
      <c r="A338" s="245" t="s">
        <v>295</v>
      </c>
      <c r="B338" s="483" t="s">
        <v>684</v>
      </c>
      <c r="C338" s="483"/>
      <c r="D338" s="483"/>
      <c r="E338" s="483"/>
      <c r="F338" s="483"/>
    </row>
    <row r="339" spans="1:6" s="322" customFormat="1" ht="23.25">
      <c r="A339" s="323"/>
      <c r="B339" s="324"/>
      <c r="C339" s="324"/>
      <c r="D339" s="255"/>
      <c r="E339" s="253"/>
      <c r="F339" s="254"/>
    </row>
    <row r="340" spans="1:6" s="322" customFormat="1" ht="54" customHeight="1">
      <c r="A340" s="323"/>
      <c r="B340" s="484" t="s">
        <v>946</v>
      </c>
      <c r="C340" s="484"/>
      <c r="D340" s="484"/>
      <c r="E340" s="484"/>
      <c r="F340" s="485"/>
    </row>
    <row r="341" spans="1:6" s="322" customFormat="1" ht="23.25">
      <c r="A341" s="323"/>
      <c r="B341" s="324"/>
      <c r="C341" s="324"/>
      <c r="D341" s="255"/>
      <c r="E341" s="253"/>
      <c r="F341" s="254"/>
    </row>
    <row r="342" spans="1:6" s="322" customFormat="1" ht="23.25">
      <c r="A342" s="245" t="s">
        <v>296</v>
      </c>
      <c r="B342" s="483" t="s">
        <v>685</v>
      </c>
      <c r="C342" s="483"/>
      <c r="D342" s="483"/>
      <c r="E342" s="483"/>
      <c r="F342" s="483"/>
    </row>
    <row r="343" spans="1:6" s="322" customFormat="1" ht="23.25">
      <c r="A343" s="323"/>
      <c r="B343" s="324"/>
      <c r="C343" s="324"/>
      <c r="D343" s="255"/>
      <c r="E343" s="253"/>
      <c r="F343" s="254"/>
    </row>
    <row r="344" spans="1:6" s="322" customFormat="1" ht="23.25">
      <c r="A344" s="323"/>
      <c r="B344" s="324" t="s">
        <v>947</v>
      </c>
      <c r="C344" s="324"/>
      <c r="D344" s="255"/>
      <c r="E344" s="253"/>
      <c r="F344" s="254"/>
    </row>
    <row r="345" spans="1:6" s="322" customFormat="1" ht="23.25">
      <c r="A345" s="250"/>
      <c r="B345" s="251"/>
      <c r="C345" s="251"/>
      <c r="D345" s="259"/>
      <c r="E345" s="260"/>
      <c r="F345" s="261"/>
    </row>
  </sheetData>
  <sheetProtection/>
  <mergeCells count="128">
    <mergeCell ref="B149:F149"/>
    <mergeCell ref="B150:F150"/>
    <mergeCell ref="B190:F190"/>
    <mergeCell ref="B193:F193"/>
    <mergeCell ref="B293:F293"/>
    <mergeCell ref="B296:F296"/>
    <mergeCell ref="B277:F277"/>
    <mergeCell ref="B278:F278"/>
    <mergeCell ref="B288:F288"/>
    <mergeCell ref="B225:F225"/>
    <mergeCell ref="B305:F305"/>
    <mergeCell ref="B306:F306"/>
    <mergeCell ref="B147:D147"/>
    <mergeCell ref="B42:E42"/>
    <mergeCell ref="B43:E43"/>
    <mergeCell ref="B334:F334"/>
    <mergeCell ref="B330:F330"/>
    <mergeCell ref="B323:F323"/>
    <mergeCell ref="B313:F313"/>
    <mergeCell ref="B273:F273"/>
    <mergeCell ref="B338:F338"/>
    <mergeCell ref="B342:F342"/>
    <mergeCell ref="B340:F340"/>
    <mergeCell ref="B328:F328"/>
    <mergeCell ref="B311:F311"/>
    <mergeCell ref="B285:E285"/>
    <mergeCell ref="B317:F317"/>
    <mergeCell ref="B321:F321"/>
    <mergeCell ref="B326:F326"/>
    <mergeCell ref="B325:F325"/>
    <mergeCell ref="B301:F301"/>
    <mergeCell ref="B310:F310"/>
    <mergeCell ref="B308:F308"/>
    <mergeCell ref="B299:F299"/>
    <mergeCell ref="B249:F249"/>
    <mergeCell ref="B253:F253"/>
    <mergeCell ref="B257:F257"/>
    <mergeCell ref="B261:F261"/>
    <mergeCell ref="B265:F265"/>
    <mergeCell ref="B269:F269"/>
    <mergeCell ref="B233:F233"/>
    <mergeCell ref="B237:F237"/>
    <mergeCell ref="B241:F241"/>
    <mergeCell ref="B245:F245"/>
    <mergeCell ref="B201:F201"/>
    <mergeCell ref="B205:F205"/>
    <mergeCell ref="B209:F209"/>
    <mergeCell ref="B213:F213"/>
    <mergeCell ref="B217:F217"/>
    <mergeCell ref="B174:F174"/>
    <mergeCell ref="B170:F170"/>
    <mergeCell ref="B177:F177"/>
    <mergeCell ref="B181:F181"/>
    <mergeCell ref="B185:F185"/>
    <mergeCell ref="B229:F229"/>
    <mergeCell ref="A183:F183"/>
    <mergeCell ref="B196:F196"/>
    <mergeCell ref="B19:F19"/>
    <mergeCell ref="B22:F22"/>
    <mergeCell ref="B26:F26"/>
    <mergeCell ref="B30:F30"/>
    <mergeCell ref="B34:F34"/>
    <mergeCell ref="B221:F221"/>
    <mergeCell ref="B158:F158"/>
    <mergeCell ref="B162:F162"/>
    <mergeCell ref="B166:F166"/>
    <mergeCell ref="B200:F200"/>
    <mergeCell ref="B39:F39"/>
    <mergeCell ref="B45:F45"/>
    <mergeCell ref="B50:F50"/>
    <mergeCell ref="B54:F54"/>
    <mergeCell ref="B58:F58"/>
    <mergeCell ref="A9:F9"/>
    <mergeCell ref="A36:F36"/>
    <mergeCell ref="A37:F37"/>
    <mergeCell ref="B11:F11"/>
    <mergeCell ref="B15:F15"/>
    <mergeCell ref="B91:F91"/>
    <mergeCell ref="B98:F98"/>
    <mergeCell ref="B105:F105"/>
    <mergeCell ref="B112:F112"/>
    <mergeCell ref="B117:F117"/>
    <mergeCell ref="A96:F96"/>
    <mergeCell ref="A95:F95"/>
    <mergeCell ref="A102:F102"/>
    <mergeCell ref="A103:F103"/>
    <mergeCell ref="B74:F74"/>
    <mergeCell ref="B75:F75"/>
    <mergeCell ref="B80:F80"/>
    <mergeCell ref="B68:C68"/>
    <mergeCell ref="B129:F129"/>
    <mergeCell ref="B82:F82"/>
    <mergeCell ref="A94:F94"/>
    <mergeCell ref="A100:F100"/>
    <mergeCell ref="A101:F101"/>
    <mergeCell ref="B84:F84"/>
    <mergeCell ref="C4:F4"/>
    <mergeCell ref="C5:F5"/>
    <mergeCell ref="C6:F6"/>
    <mergeCell ref="C7:F7"/>
    <mergeCell ref="C8:F8"/>
    <mergeCell ref="C3:G3"/>
    <mergeCell ref="B60:F60"/>
    <mergeCell ref="B41:F41"/>
    <mergeCell ref="A77:F77"/>
    <mergeCell ref="A93:F93"/>
    <mergeCell ref="A86:F86"/>
    <mergeCell ref="A88:F88"/>
    <mergeCell ref="A87:F87"/>
    <mergeCell ref="B62:F62"/>
    <mergeCell ref="B66:F66"/>
    <mergeCell ref="B70:F70"/>
    <mergeCell ref="B145:F145"/>
    <mergeCell ref="A107:F107"/>
    <mergeCell ref="A108:F108"/>
    <mergeCell ref="A109:F109"/>
    <mergeCell ref="A110:F110"/>
    <mergeCell ref="B133:F133"/>
    <mergeCell ref="A155:F155"/>
    <mergeCell ref="A156:F156"/>
    <mergeCell ref="B121:F121"/>
    <mergeCell ref="B114:F114"/>
    <mergeCell ref="A336:F336"/>
    <mergeCell ref="B153:F153"/>
    <mergeCell ref="B137:F137"/>
    <mergeCell ref="B141:F141"/>
    <mergeCell ref="B314:F314"/>
    <mergeCell ref="B125:F125"/>
  </mergeCells>
  <printOptions/>
  <pageMargins left="0.984251968503937" right="0.984251968503937" top="0.984251968503937" bottom="0.984251968503937" header="0.5118110236220472" footer="0.5118110236220472"/>
  <pageSetup fitToHeight="1000" fitToWidth="1"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:L661"/>
  <sheetViews>
    <sheetView view="pageBreakPreview" zoomScale="70" zoomScaleSheetLayoutView="70" zoomScalePageLayoutView="0" workbookViewId="0" topLeftCell="A214">
      <selection activeCell="A222" sqref="A222:G222"/>
    </sheetView>
  </sheetViews>
  <sheetFormatPr defaultColWidth="9.140625" defaultRowHeight="15"/>
  <cols>
    <col min="1" max="1" width="17.8515625" style="120" customWidth="1"/>
    <col min="2" max="2" width="22.8515625" style="120" customWidth="1"/>
    <col min="3" max="3" width="96.7109375" style="121" customWidth="1"/>
    <col min="4" max="4" width="16.00390625" style="120" bestFit="1" customWidth="1"/>
    <col min="5" max="5" width="20.7109375" style="122" bestFit="1" customWidth="1"/>
    <col min="6" max="6" width="24.8515625" style="123" bestFit="1" customWidth="1"/>
    <col min="7" max="7" width="26.7109375" style="124" bestFit="1" customWidth="1"/>
    <col min="8" max="8" width="10.421875" style="21" bestFit="1" customWidth="1"/>
    <col min="9" max="9" width="19.57421875" style="21" bestFit="1" customWidth="1"/>
    <col min="10" max="16384" width="9.140625" style="21" customWidth="1"/>
  </cols>
  <sheetData>
    <row r="1" spans="1:7" ht="23.25">
      <c r="A1" s="19"/>
      <c r="B1" s="20"/>
      <c r="C1" s="137" t="s">
        <v>38</v>
      </c>
      <c r="D1" s="129"/>
      <c r="E1" s="130"/>
      <c r="F1" s="131"/>
      <c r="G1" s="132"/>
    </row>
    <row r="2" spans="1:7" ht="23.25">
      <c r="A2" s="22"/>
      <c r="B2" s="23"/>
      <c r="C2" s="127" t="s">
        <v>39</v>
      </c>
      <c r="D2" s="133"/>
      <c r="E2" s="134"/>
      <c r="F2" s="135"/>
      <c r="G2" s="136"/>
    </row>
    <row r="3" spans="1:8" ht="23.25">
      <c r="A3" s="22"/>
      <c r="B3" s="23"/>
      <c r="C3" s="127" t="s">
        <v>40</v>
      </c>
      <c r="D3" s="509" t="s">
        <v>1029</v>
      </c>
      <c r="E3" s="510"/>
      <c r="F3" s="510"/>
      <c r="G3" s="510"/>
      <c r="H3" s="510"/>
    </row>
    <row r="4" spans="1:7" ht="18.75" customHeight="1">
      <c r="A4" s="22"/>
      <c r="B4" s="23"/>
      <c r="C4" s="128" t="s">
        <v>857</v>
      </c>
      <c r="D4" s="497" t="s">
        <v>1037</v>
      </c>
      <c r="E4" s="498"/>
      <c r="F4" s="498"/>
      <c r="G4" s="499"/>
    </row>
    <row r="5" spans="1:7" ht="18.75">
      <c r="A5" s="22"/>
      <c r="B5" s="23"/>
      <c r="C5" s="128" t="s">
        <v>191</v>
      </c>
      <c r="D5" s="500" t="s">
        <v>192</v>
      </c>
      <c r="E5" s="501"/>
      <c r="F5" s="501"/>
      <c r="G5" s="502"/>
    </row>
    <row r="6" spans="1:7" ht="18.75">
      <c r="A6" s="22"/>
      <c r="B6" s="23"/>
      <c r="C6" s="24" t="s">
        <v>744</v>
      </c>
      <c r="D6" s="503" t="s">
        <v>193</v>
      </c>
      <c r="E6" s="504"/>
      <c r="F6" s="504"/>
      <c r="G6" s="505"/>
    </row>
    <row r="7" spans="1:7" ht="18.75">
      <c r="A7" s="22"/>
      <c r="B7" s="23"/>
      <c r="C7" s="25" t="s">
        <v>606</v>
      </c>
      <c r="D7" s="503" t="s">
        <v>86</v>
      </c>
      <c r="E7" s="504"/>
      <c r="F7" s="504"/>
      <c r="G7" s="505"/>
    </row>
    <row r="8" spans="1:7" ht="18.75">
      <c r="A8" s="26"/>
      <c r="B8" s="27"/>
      <c r="C8" s="28"/>
      <c r="D8" s="506" t="s">
        <v>743</v>
      </c>
      <c r="E8" s="507"/>
      <c r="F8" s="507"/>
      <c r="G8" s="508"/>
    </row>
    <row r="9" spans="1:7" ht="18.75">
      <c r="A9" s="530" t="s">
        <v>89</v>
      </c>
      <c r="B9" s="531"/>
      <c r="C9" s="531"/>
      <c r="D9" s="531"/>
      <c r="E9" s="531"/>
      <c r="F9" s="531"/>
      <c r="G9" s="531"/>
    </row>
    <row r="10" spans="1:7" ht="18.75">
      <c r="A10" s="532" t="s">
        <v>1</v>
      </c>
      <c r="B10" s="527" t="s">
        <v>87</v>
      </c>
      <c r="C10" s="527" t="s">
        <v>2</v>
      </c>
      <c r="D10" s="532" t="s">
        <v>0</v>
      </c>
      <c r="E10" s="533" t="s">
        <v>3</v>
      </c>
      <c r="F10" s="533" t="s">
        <v>6</v>
      </c>
      <c r="G10" s="533"/>
    </row>
    <row r="11" spans="1:7" ht="18.75">
      <c r="A11" s="532"/>
      <c r="B11" s="527"/>
      <c r="C11" s="527"/>
      <c r="D11" s="532"/>
      <c r="E11" s="533"/>
      <c r="F11" s="16" t="s">
        <v>4</v>
      </c>
      <c r="G11" s="18" t="s">
        <v>5</v>
      </c>
    </row>
    <row r="12" spans="1:7" ht="18.75">
      <c r="A12" s="17" t="s">
        <v>16</v>
      </c>
      <c r="B12" s="17"/>
      <c r="C12" s="30" t="s">
        <v>59</v>
      </c>
      <c r="D12" s="31"/>
      <c r="E12" s="32"/>
      <c r="F12" s="17"/>
      <c r="G12" s="29"/>
    </row>
    <row r="13" spans="1:7" ht="36">
      <c r="A13" s="33" t="s">
        <v>21</v>
      </c>
      <c r="B13" s="34" t="s">
        <v>321</v>
      </c>
      <c r="C13" s="35" t="s">
        <v>327</v>
      </c>
      <c r="D13" s="36" t="s">
        <v>47</v>
      </c>
      <c r="E13" s="37">
        <v>12</v>
      </c>
      <c r="F13" s="38">
        <f>TRUNC(F14,2)</f>
        <v>306.82</v>
      </c>
      <c r="G13" s="39">
        <f>TRUNC((E13*F13),2)</f>
        <v>3681.84</v>
      </c>
    </row>
    <row r="14" spans="1:7" ht="54">
      <c r="A14" s="40"/>
      <c r="B14" s="41" t="s">
        <v>321</v>
      </c>
      <c r="C14" s="42" t="s">
        <v>745</v>
      </c>
      <c r="D14" s="43" t="s">
        <v>47</v>
      </c>
      <c r="E14" s="44">
        <v>1</v>
      </c>
      <c r="F14" s="45">
        <f>G23</f>
        <v>306.82</v>
      </c>
      <c r="G14" s="46">
        <f aca="true" t="shared" si="0" ref="G14:G22">TRUNC(E14*F14,2)</f>
        <v>306.82</v>
      </c>
    </row>
    <row r="15" spans="1:7" ht="36">
      <c r="A15" s="47"/>
      <c r="B15" s="48" t="s">
        <v>67</v>
      </c>
      <c r="C15" s="49" t="s">
        <v>494</v>
      </c>
      <c r="D15" s="50" t="s">
        <v>52</v>
      </c>
      <c r="E15" s="51">
        <v>0.3</v>
      </c>
      <c r="F15" s="52">
        <f>TRUNC(8.39,2)</f>
        <v>8.39</v>
      </c>
      <c r="G15" s="125">
        <f t="shared" si="0"/>
        <v>2.51</v>
      </c>
    </row>
    <row r="16" spans="1:7" ht="18.75">
      <c r="A16" s="47"/>
      <c r="B16" s="48" t="s">
        <v>66</v>
      </c>
      <c r="C16" s="49" t="s">
        <v>746</v>
      </c>
      <c r="D16" s="50" t="s">
        <v>64</v>
      </c>
      <c r="E16" s="51">
        <v>9.2</v>
      </c>
      <c r="F16" s="52">
        <f>TRUNC(2.46,2)</f>
        <v>2.46</v>
      </c>
      <c r="G16" s="125">
        <f t="shared" si="0"/>
        <v>22.63</v>
      </c>
    </row>
    <row r="17" spans="1:7" ht="36">
      <c r="A17" s="47"/>
      <c r="B17" s="48" t="s">
        <v>323</v>
      </c>
      <c r="C17" s="49" t="s">
        <v>495</v>
      </c>
      <c r="D17" s="50" t="s">
        <v>324</v>
      </c>
      <c r="E17" s="51">
        <v>0.2</v>
      </c>
      <c r="F17" s="52">
        <f>TRUNC(56.75,2)</f>
        <v>56.75</v>
      </c>
      <c r="G17" s="125">
        <f t="shared" si="0"/>
        <v>11.35</v>
      </c>
    </row>
    <row r="18" spans="1:7" ht="54">
      <c r="A18" s="47"/>
      <c r="B18" s="48" t="s">
        <v>322</v>
      </c>
      <c r="C18" s="49" t="s">
        <v>496</v>
      </c>
      <c r="D18" s="50" t="s">
        <v>52</v>
      </c>
      <c r="E18" s="51">
        <v>5</v>
      </c>
      <c r="F18" s="52">
        <f>TRUNC(7.3605,2)</f>
        <v>7.36</v>
      </c>
      <c r="G18" s="125">
        <f t="shared" si="0"/>
        <v>36.8</v>
      </c>
    </row>
    <row r="19" spans="1:7" ht="36">
      <c r="A19" s="47"/>
      <c r="B19" s="48" t="s">
        <v>43</v>
      </c>
      <c r="C19" s="49" t="s">
        <v>44</v>
      </c>
      <c r="D19" s="50" t="s">
        <v>7</v>
      </c>
      <c r="E19" s="51">
        <v>2.06</v>
      </c>
      <c r="F19" s="52">
        <f>TRUNC(12.54,2)</f>
        <v>12.54</v>
      </c>
      <c r="G19" s="125">
        <f t="shared" si="0"/>
        <v>25.83</v>
      </c>
    </row>
    <row r="20" spans="1:7" ht="36">
      <c r="A20" s="47"/>
      <c r="B20" s="48" t="s">
        <v>325</v>
      </c>
      <c r="C20" s="49" t="s">
        <v>447</v>
      </c>
      <c r="D20" s="50" t="s">
        <v>7</v>
      </c>
      <c r="E20" s="51">
        <v>4.12</v>
      </c>
      <c r="F20" s="52">
        <f>TRUNC(17.3,2)</f>
        <v>17.3</v>
      </c>
      <c r="G20" s="125">
        <f t="shared" si="0"/>
        <v>71.27</v>
      </c>
    </row>
    <row r="21" spans="1:7" ht="36">
      <c r="A21" s="47"/>
      <c r="B21" s="48" t="s">
        <v>90</v>
      </c>
      <c r="C21" s="49" t="s">
        <v>409</v>
      </c>
      <c r="D21" s="50" t="s">
        <v>7</v>
      </c>
      <c r="E21" s="51">
        <v>2.06</v>
      </c>
      <c r="F21" s="52">
        <f>TRUNC(18.63,2)</f>
        <v>18.63</v>
      </c>
      <c r="G21" s="125">
        <f t="shared" si="0"/>
        <v>38.37</v>
      </c>
    </row>
    <row r="22" spans="1:7" ht="18.75">
      <c r="A22" s="47"/>
      <c r="B22" s="48" t="s">
        <v>263</v>
      </c>
      <c r="C22" s="49" t="s">
        <v>497</v>
      </c>
      <c r="D22" s="50" t="s">
        <v>7</v>
      </c>
      <c r="E22" s="51">
        <v>1</v>
      </c>
      <c r="F22" s="52">
        <f>TRUNC(98.0629,2)</f>
        <v>98.06</v>
      </c>
      <c r="G22" s="125">
        <f t="shared" si="0"/>
        <v>98.06</v>
      </c>
    </row>
    <row r="23" spans="1:7" ht="18.75">
      <c r="A23" s="47"/>
      <c r="B23" s="48"/>
      <c r="C23" s="49"/>
      <c r="D23" s="50"/>
      <c r="E23" s="51" t="s">
        <v>5</v>
      </c>
      <c r="F23" s="52"/>
      <c r="G23" s="125">
        <f>TRUNC(SUM(G15:G22),2)</f>
        <v>306.82</v>
      </c>
    </row>
    <row r="24" spans="1:9" ht="72">
      <c r="A24" s="71" t="s">
        <v>22</v>
      </c>
      <c r="B24" s="72" t="s">
        <v>320</v>
      </c>
      <c r="C24" s="73" t="s">
        <v>328</v>
      </c>
      <c r="D24" s="74" t="s">
        <v>47</v>
      </c>
      <c r="E24" s="75">
        <v>339.99</v>
      </c>
      <c r="F24" s="76">
        <f>TRUNC(F25,2)</f>
        <v>40.57</v>
      </c>
      <c r="G24" s="77">
        <f>TRUNC((E24*F24),2)</f>
        <v>13793.39</v>
      </c>
      <c r="I24" s="163"/>
    </row>
    <row r="25" spans="1:9" ht="108">
      <c r="A25" s="47"/>
      <c r="B25" s="48" t="s">
        <v>320</v>
      </c>
      <c r="C25" s="49" t="s">
        <v>747</v>
      </c>
      <c r="D25" s="50" t="s">
        <v>47</v>
      </c>
      <c r="E25" s="51">
        <v>1</v>
      </c>
      <c r="F25" s="52">
        <f>G31</f>
        <v>40.57</v>
      </c>
      <c r="G25" s="53">
        <f aca="true" t="shared" si="1" ref="G25:G30">TRUNC(E25*F25,2)</f>
        <v>40.57</v>
      </c>
      <c r="I25" s="163"/>
    </row>
    <row r="26" spans="1:9" ht="36">
      <c r="A26" s="47"/>
      <c r="B26" s="48" t="s">
        <v>67</v>
      </c>
      <c r="C26" s="49" t="s">
        <v>494</v>
      </c>
      <c r="D26" s="50" t="s">
        <v>52</v>
      </c>
      <c r="E26" s="51">
        <v>0.15</v>
      </c>
      <c r="F26" s="52">
        <f>TRUNC(8.39,2)</f>
        <v>8.39</v>
      </c>
      <c r="G26" s="53">
        <f t="shared" si="1"/>
        <v>1.25</v>
      </c>
      <c r="I26" s="163"/>
    </row>
    <row r="27" spans="1:9" ht="18.75">
      <c r="A27" s="47"/>
      <c r="B27" s="48" t="s">
        <v>66</v>
      </c>
      <c r="C27" s="49" t="s">
        <v>746</v>
      </c>
      <c r="D27" s="50" t="s">
        <v>64</v>
      </c>
      <c r="E27" s="51">
        <v>2.5</v>
      </c>
      <c r="F27" s="52">
        <f>TRUNC(2.46,2)</f>
        <v>2.46</v>
      </c>
      <c r="G27" s="53">
        <f t="shared" si="1"/>
        <v>6.15</v>
      </c>
      <c r="I27" s="163"/>
    </row>
    <row r="28" spans="1:9" ht="36">
      <c r="A28" s="47"/>
      <c r="B28" s="48" t="s">
        <v>91</v>
      </c>
      <c r="C28" s="49" t="s">
        <v>498</v>
      </c>
      <c r="D28" s="50" t="s">
        <v>47</v>
      </c>
      <c r="E28" s="51">
        <v>1.1</v>
      </c>
      <c r="F28" s="52">
        <f>TRUNC(6.81,2)</f>
        <v>6.81</v>
      </c>
      <c r="G28" s="53">
        <f t="shared" si="1"/>
        <v>7.49</v>
      </c>
      <c r="I28" s="163"/>
    </row>
    <row r="29" spans="1:9" ht="36">
      <c r="A29" s="47"/>
      <c r="B29" s="48" t="s">
        <v>43</v>
      </c>
      <c r="C29" s="49" t="s">
        <v>44</v>
      </c>
      <c r="D29" s="50" t="s">
        <v>7</v>
      </c>
      <c r="E29" s="51">
        <v>0.8240000000000001</v>
      </c>
      <c r="F29" s="52">
        <f>TRUNC(12.54,2)</f>
        <v>12.54</v>
      </c>
      <c r="G29" s="53">
        <f t="shared" si="1"/>
        <v>10.33</v>
      </c>
      <c r="I29" s="163"/>
    </row>
    <row r="30" spans="1:9" ht="36">
      <c r="A30" s="47"/>
      <c r="B30" s="48" t="s">
        <v>90</v>
      </c>
      <c r="C30" s="49" t="s">
        <v>409</v>
      </c>
      <c r="D30" s="50" t="s">
        <v>7</v>
      </c>
      <c r="E30" s="51">
        <v>0.8240000000000001</v>
      </c>
      <c r="F30" s="52">
        <f>TRUNC(18.63,2)</f>
        <v>18.63</v>
      </c>
      <c r="G30" s="53">
        <f t="shared" si="1"/>
        <v>15.35</v>
      </c>
      <c r="I30" s="163"/>
    </row>
    <row r="31" spans="1:9" ht="18.75">
      <c r="A31" s="47"/>
      <c r="B31" s="48"/>
      <c r="C31" s="49"/>
      <c r="D31" s="50"/>
      <c r="E31" s="51" t="s">
        <v>5</v>
      </c>
      <c r="F31" s="52"/>
      <c r="G31" s="53">
        <f>TRUNC(SUM(G26:G30),2)</f>
        <v>40.57</v>
      </c>
      <c r="I31" s="163"/>
    </row>
    <row r="32" spans="1:7" ht="72">
      <c r="A32" s="71" t="s">
        <v>23</v>
      </c>
      <c r="B32" s="72" t="s">
        <v>92</v>
      </c>
      <c r="C32" s="73" t="s">
        <v>329</v>
      </c>
      <c r="D32" s="74" t="s">
        <v>47</v>
      </c>
      <c r="E32" s="75">
        <v>10</v>
      </c>
      <c r="F32" s="76">
        <f>TRUNC(F33,2)</f>
        <v>321.85</v>
      </c>
      <c r="G32" s="77">
        <f>TRUNC((E32*F32),2)</f>
        <v>3218.5</v>
      </c>
    </row>
    <row r="33" spans="1:7" ht="90">
      <c r="A33" s="40"/>
      <c r="B33" s="41" t="s">
        <v>92</v>
      </c>
      <c r="C33" s="42" t="s">
        <v>499</v>
      </c>
      <c r="D33" s="43" t="s">
        <v>47</v>
      </c>
      <c r="E33" s="44">
        <v>1</v>
      </c>
      <c r="F33" s="45">
        <f>G51</f>
        <v>321.85</v>
      </c>
      <c r="G33" s="46">
        <f aca="true" t="shared" si="2" ref="G33:G50">TRUNC(E33*F33,2)</f>
        <v>321.85</v>
      </c>
    </row>
    <row r="34" spans="1:7" ht="36">
      <c r="A34" s="47"/>
      <c r="B34" s="48" t="s">
        <v>100</v>
      </c>
      <c r="C34" s="49" t="s">
        <v>500</v>
      </c>
      <c r="D34" s="50" t="s">
        <v>0</v>
      </c>
      <c r="E34" s="51">
        <v>0.06</v>
      </c>
      <c r="F34" s="52">
        <f>TRUNC(7.5,2)</f>
        <v>7.5</v>
      </c>
      <c r="G34" s="53">
        <f t="shared" si="2"/>
        <v>0.45</v>
      </c>
    </row>
    <row r="35" spans="1:7" ht="18.75">
      <c r="A35" s="47"/>
      <c r="B35" s="48" t="s">
        <v>66</v>
      </c>
      <c r="C35" s="49" t="s">
        <v>746</v>
      </c>
      <c r="D35" s="50" t="s">
        <v>64</v>
      </c>
      <c r="E35" s="51">
        <v>2</v>
      </c>
      <c r="F35" s="52">
        <f>TRUNC(2.46,2)</f>
        <v>2.46</v>
      </c>
      <c r="G35" s="53">
        <f t="shared" si="2"/>
        <v>4.92</v>
      </c>
    </row>
    <row r="36" spans="1:7" ht="36">
      <c r="A36" s="47"/>
      <c r="B36" s="48" t="s">
        <v>67</v>
      </c>
      <c r="C36" s="49" t="s">
        <v>494</v>
      </c>
      <c r="D36" s="50" t="s">
        <v>52</v>
      </c>
      <c r="E36" s="51">
        <v>0.12</v>
      </c>
      <c r="F36" s="52">
        <f>TRUNC(8.39,2)</f>
        <v>8.39</v>
      </c>
      <c r="G36" s="53">
        <f t="shared" si="2"/>
        <v>1</v>
      </c>
    </row>
    <row r="37" spans="1:7" ht="36">
      <c r="A37" s="47"/>
      <c r="B37" s="48" t="s">
        <v>94</v>
      </c>
      <c r="C37" s="49" t="s">
        <v>501</v>
      </c>
      <c r="D37" s="50" t="s">
        <v>0</v>
      </c>
      <c r="E37" s="51">
        <v>0.17170000000000002</v>
      </c>
      <c r="F37" s="52">
        <f>TRUNC(2.32,2)</f>
        <v>2.32</v>
      </c>
      <c r="G37" s="53">
        <f t="shared" si="2"/>
        <v>0.39</v>
      </c>
    </row>
    <row r="38" spans="1:7" ht="18.75">
      <c r="A38" s="47"/>
      <c r="B38" s="48" t="s">
        <v>95</v>
      </c>
      <c r="C38" s="49" t="s">
        <v>502</v>
      </c>
      <c r="D38" s="50" t="s">
        <v>47</v>
      </c>
      <c r="E38" s="51">
        <v>0.06</v>
      </c>
      <c r="F38" s="52">
        <f>TRUNC(38,2)</f>
        <v>38</v>
      </c>
      <c r="G38" s="53">
        <f t="shared" si="2"/>
        <v>2.28</v>
      </c>
    </row>
    <row r="39" spans="1:7" ht="18.75">
      <c r="A39" s="47"/>
      <c r="B39" s="48" t="s">
        <v>96</v>
      </c>
      <c r="C39" s="49" t="s">
        <v>503</v>
      </c>
      <c r="D39" s="50" t="s">
        <v>0</v>
      </c>
      <c r="E39" s="51">
        <v>0.0808</v>
      </c>
      <c r="F39" s="52">
        <f>TRUNC(6.93,2)</f>
        <v>6.93</v>
      </c>
      <c r="G39" s="53">
        <f t="shared" si="2"/>
        <v>0.55</v>
      </c>
    </row>
    <row r="40" spans="1:7" ht="36">
      <c r="A40" s="47"/>
      <c r="B40" s="48" t="s">
        <v>97</v>
      </c>
      <c r="C40" s="49" t="s">
        <v>504</v>
      </c>
      <c r="D40" s="50" t="s">
        <v>64</v>
      </c>
      <c r="E40" s="51">
        <v>0.505</v>
      </c>
      <c r="F40" s="52">
        <f>TRUNC(1.8006,2)</f>
        <v>1.8</v>
      </c>
      <c r="G40" s="53">
        <f t="shared" si="2"/>
        <v>0.9</v>
      </c>
    </row>
    <row r="41" spans="1:7" ht="18.75">
      <c r="A41" s="47"/>
      <c r="B41" s="48" t="s">
        <v>93</v>
      </c>
      <c r="C41" s="49" t="s">
        <v>505</v>
      </c>
      <c r="D41" s="50" t="s">
        <v>0</v>
      </c>
      <c r="E41" s="51">
        <v>0.95</v>
      </c>
      <c r="F41" s="52">
        <f>TRUNC(1.5,2)</f>
        <v>1.5</v>
      </c>
      <c r="G41" s="53">
        <f t="shared" si="2"/>
        <v>1.42</v>
      </c>
    </row>
    <row r="42" spans="1:7" ht="18.75">
      <c r="A42" s="47"/>
      <c r="B42" s="48" t="s">
        <v>99</v>
      </c>
      <c r="C42" s="49" t="s">
        <v>748</v>
      </c>
      <c r="D42" s="50" t="s">
        <v>0</v>
      </c>
      <c r="E42" s="51">
        <v>0.17</v>
      </c>
      <c r="F42" s="52">
        <f>TRUNC(22,2)</f>
        <v>22</v>
      </c>
      <c r="G42" s="53">
        <f t="shared" si="2"/>
        <v>3.74</v>
      </c>
    </row>
    <row r="43" spans="1:7" ht="36">
      <c r="A43" s="47"/>
      <c r="B43" s="48" t="s">
        <v>101</v>
      </c>
      <c r="C43" s="49" t="s">
        <v>749</v>
      </c>
      <c r="D43" s="50" t="s">
        <v>0</v>
      </c>
      <c r="E43" s="51">
        <v>0.08</v>
      </c>
      <c r="F43" s="52">
        <f>TRUNC(3.6,2)</f>
        <v>3.6</v>
      </c>
      <c r="G43" s="53">
        <f t="shared" si="2"/>
        <v>0.28</v>
      </c>
    </row>
    <row r="44" spans="1:7" ht="18.75">
      <c r="A44" s="47"/>
      <c r="B44" s="48" t="s">
        <v>102</v>
      </c>
      <c r="C44" s="49" t="s">
        <v>506</v>
      </c>
      <c r="D44" s="50" t="s">
        <v>0</v>
      </c>
      <c r="E44" s="51">
        <v>0.0808</v>
      </c>
      <c r="F44" s="52">
        <f>TRUNC(3.1,2)</f>
        <v>3.1</v>
      </c>
      <c r="G44" s="53">
        <f t="shared" si="2"/>
        <v>0.25</v>
      </c>
    </row>
    <row r="45" spans="1:7" ht="36">
      <c r="A45" s="47"/>
      <c r="B45" s="48" t="s">
        <v>103</v>
      </c>
      <c r="C45" s="49" t="s">
        <v>507</v>
      </c>
      <c r="D45" s="50" t="s">
        <v>0</v>
      </c>
      <c r="E45" s="51">
        <v>0.275</v>
      </c>
      <c r="F45" s="52">
        <f>TRUNC(41.95,2)</f>
        <v>41.95</v>
      </c>
      <c r="G45" s="53">
        <f t="shared" si="2"/>
        <v>11.53</v>
      </c>
    </row>
    <row r="46" spans="1:7" ht="18.75">
      <c r="A46" s="47"/>
      <c r="B46" s="48" t="s">
        <v>98</v>
      </c>
      <c r="C46" s="49" t="s">
        <v>508</v>
      </c>
      <c r="D46" s="50" t="s">
        <v>0</v>
      </c>
      <c r="E46" s="51">
        <v>0.0202</v>
      </c>
      <c r="F46" s="52">
        <f>TRUNC(8.56,2)</f>
        <v>8.56</v>
      </c>
      <c r="G46" s="53">
        <f t="shared" si="2"/>
        <v>0.17</v>
      </c>
    </row>
    <row r="47" spans="1:7" ht="36">
      <c r="A47" s="47"/>
      <c r="B47" s="48" t="s">
        <v>90</v>
      </c>
      <c r="C47" s="49" t="s">
        <v>409</v>
      </c>
      <c r="D47" s="50" t="s">
        <v>7</v>
      </c>
      <c r="E47" s="51">
        <v>8.137</v>
      </c>
      <c r="F47" s="52">
        <f>TRUNC(18.63,2)</f>
        <v>18.63</v>
      </c>
      <c r="G47" s="53">
        <f t="shared" si="2"/>
        <v>151.59</v>
      </c>
    </row>
    <row r="48" spans="1:7" ht="36">
      <c r="A48" s="47"/>
      <c r="B48" s="48" t="s">
        <v>104</v>
      </c>
      <c r="C48" s="49" t="s">
        <v>509</v>
      </c>
      <c r="D48" s="50" t="s">
        <v>7</v>
      </c>
      <c r="E48" s="51">
        <v>0.41200000000000003</v>
      </c>
      <c r="F48" s="52">
        <f>TRUNC(17.3,2)</f>
        <v>17.3</v>
      </c>
      <c r="G48" s="53">
        <f t="shared" si="2"/>
        <v>7.12</v>
      </c>
    </row>
    <row r="49" spans="1:7" ht="36">
      <c r="A49" s="47"/>
      <c r="B49" s="48" t="s">
        <v>43</v>
      </c>
      <c r="C49" s="49" t="s">
        <v>44</v>
      </c>
      <c r="D49" s="50" t="s">
        <v>7</v>
      </c>
      <c r="E49" s="51">
        <v>8.549000000000001</v>
      </c>
      <c r="F49" s="52">
        <f>TRUNC(12.54,2)</f>
        <v>12.54</v>
      </c>
      <c r="G49" s="53">
        <f t="shared" si="2"/>
        <v>107.2</v>
      </c>
    </row>
    <row r="50" spans="1:7" ht="18.75">
      <c r="A50" s="47"/>
      <c r="B50" s="48" t="s">
        <v>105</v>
      </c>
      <c r="C50" s="49" t="s">
        <v>750</v>
      </c>
      <c r="D50" s="50" t="s">
        <v>47</v>
      </c>
      <c r="E50" s="51">
        <v>1.65</v>
      </c>
      <c r="F50" s="52">
        <f>TRUNC(17.0199,2)</f>
        <v>17.01</v>
      </c>
      <c r="G50" s="53">
        <f t="shared" si="2"/>
        <v>28.06</v>
      </c>
    </row>
    <row r="51" spans="1:7" ht="18.75">
      <c r="A51" s="47"/>
      <c r="B51" s="48"/>
      <c r="C51" s="49"/>
      <c r="D51" s="50"/>
      <c r="E51" s="51" t="s">
        <v>5</v>
      </c>
      <c r="F51" s="52"/>
      <c r="G51" s="53">
        <f>TRUNC(SUM(G34:G50),2)</f>
        <v>321.85</v>
      </c>
    </row>
    <row r="52" spans="1:7" ht="90">
      <c r="A52" s="71" t="s">
        <v>24</v>
      </c>
      <c r="B52" s="72" t="s">
        <v>106</v>
      </c>
      <c r="C52" s="73" t="s">
        <v>330</v>
      </c>
      <c r="D52" s="74" t="s">
        <v>107</v>
      </c>
      <c r="E52" s="75">
        <f>1*4</f>
        <v>4</v>
      </c>
      <c r="F52" s="76">
        <f>TRUNC(F53,2)</f>
        <v>867.22</v>
      </c>
      <c r="G52" s="77">
        <f>TRUNC((E52*F52),2)</f>
        <v>3468.88</v>
      </c>
    </row>
    <row r="53" spans="1:7" ht="108">
      <c r="A53" s="40"/>
      <c r="B53" s="41" t="s">
        <v>106</v>
      </c>
      <c r="C53" s="42" t="s">
        <v>510</v>
      </c>
      <c r="D53" s="43" t="s">
        <v>107</v>
      </c>
      <c r="E53" s="44">
        <v>1</v>
      </c>
      <c r="F53" s="45">
        <f>TRUNC(867.22,2)</f>
        <v>867.22</v>
      </c>
      <c r="G53" s="46">
        <f>TRUNC(E53*F53,2)</f>
        <v>867.22</v>
      </c>
    </row>
    <row r="54" spans="1:7" ht="54">
      <c r="A54" s="47"/>
      <c r="B54" s="48" t="s">
        <v>108</v>
      </c>
      <c r="C54" s="49" t="s">
        <v>511</v>
      </c>
      <c r="D54" s="50" t="s">
        <v>109</v>
      </c>
      <c r="E54" s="51">
        <v>1</v>
      </c>
      <c r="F54" s="52">
        <f>TRUNC(867.22,2)</f>
        <v>867.22</v>
      </c>
      <c r="G54" s="53">
        <f>TRUNC(E54*F54,2)</f>
        <v>867.22</v>
      </c>
    </row>
    <row r="55" spans="1:7" ht="18.75">
      <c r="A55" s="47"/>
      <c r="B55" s="48"/>
      <c r="C55" s="49"/>
      <c r="D55" s="50"/>
      <c r="E55" s="51" t="s">
        <v>5</v>
      </c>
      <c r="F55" s="52"/>
      <c r="G55" s="53">
        <f>TRUNC(SUM(G54:G54),2)</f>
        <v>867.22</v>
      </c>
    </row>
    <row r="56" spans="1:7" ht="54">
      <c r="A56" s="71" t="s">
        <v>25</v>
      </c>
      <c r="B56" s="72" t="s">
        <v>110</v>
      </c>
      <c r="C56" s="73" t="s">
        <v>331</v>
      </c>
      <c r="D56" s="74" t="s">
        <v>0</v>
      </c>
      <c r="E56" s="75">
        <v>1</v>
      </c>
      <c r="F56" s="76">
        <f>TRUNC(F57,2)</f>
        <v>2815.02</v>
      </c>
      <c r="G56" s="77">
        <f>TRUNC((E56*F56),2)</f>
        <v>2815.02</v>
      </c>
    </row>
    <row r="57" spans="1:7" ht="90">
      <c r="A57" s="40"/>
      <c r="B57" s="41" t="s">
        <v>110</v>
      </c>
      <c r="C57" s="42" t="s">
        <v>751</v>
      </c>
      <c r="D57" s="43" t="s">
        <v>0</v>
      </c>
      <c r="E57" s="44">
        <v>1</v>
      </c>
      <c r="F57" s="45">
        <f>G74</f>
        <v>2815.02</v>
      </c>
      <c r="G57" s="46">
        <f aca="true" t="shared" si="3" ref="G57:G73">TRUNC(E57*F57,2)</f>
        <v>2815.02</v>
      </c>
    </row>
    <row r="58" spans="1:7" ht="36">
      <c r="A58" s="47"/>
      <c r="B58" s="48" t="s">
        <v>117</v>
      </c>
      <c r="C58" s="49" t="s">
        <v>512</v>
      </c>
      <c r="D58" s="50" t="s">
        <v>0</v>
      </c>
      <c r="E58" s="51">
        <v>1</v>
      </c>
      <c r="F58" s="52">
        <f>TRUNC(10.4,2)</f>
        <v>10.4</v>
      </c>
      <c r="G58" s="53">
        <f t="shared" si="3"/>
        <v>10.4</v>
      </c>
    </row>
    <row r="59" spans="1:7" ht="18.75">
      <c r="A59" s="47"/>
      <c r="B59" s="48" t="s">
        <v>66</v>
      </c>
      <c r="C59" s="49" t="s">
        <v>746</v>
      </c>
      <c r="D59" s="50" t="s">
        <v>64</v>
      </c>
      <c r="E59" s="51">
        <v>25</v>
      </c>
      <c r="F59" s="52">
        <f>TRUNC(2.46,2)</f>
        <v>2.46</v>
      </c>
      <c r="G59" s="53">
        <f t="shared" si="3"/>
        <v>61.5</v>
      </c>
    </row>
    <row r="60" spans="1:7" ht="36">
      <c r="A60" s="47"/>
      <c r="B60" s="48" t="s">
        <v>67</v>
      </c>
      <c r="C60" s="49" t="s">
        <v>494</v>
      </c>
      <c r="D60" s="50" t="s">
        <v>52</v>
      </c>
      <c r="E60" s="51">
        <v>1</v>
      </c>
      <c r="F60" s="52">
        <f>TRUNC(8.39,2)</f>
        <v>8.39</v>
      </c>
      <c r="G60" s="53">
        <f t="shared" si="3"/>
        <v>8.39</v>
      </c>
    </row>
    <row r="61" spans="1:7" ht="18.75">
      <c r="A61" s="47"/>
      <c r="B61" s="48" t="s">
        <v>112</v>
      </c>
      <c r="C61" s="49" t="s">
        <v>513</v>
      </c>
      <c r="D61" s="50" t="s">
        <v>0</v>
      </c>
      <c r="E61" s="51">
        <v>30</v>
      </c>
      <c r="F61" s="52">
        <f>TRUNC(0.5,2)</f>
        <v>0.5</v>
      </c>
      <c r="G61" s="53">
        <f t="shared" si="3"/>
        <v>15</v>
      </c>
    </row>
    <row r="62" spans="1:7" ht="36">
      <c r="A62" s="47"/>
      <c r="B62" s="48" t="s">
        <v>114</v>
      </c>
      <c r="C62" s="49" t="s">
        <v>752</v>
      </c>
      <c r="D62" s="50" t="s">
        <v>0</v>
      </c>
      <c r="E62" s="51">
        <v>1</v>
      </c>
      <c r="F62" s="52">
        <f>TRUNC(20.09,2)</f>
        <v>20.09</v>
      </c>
      <c r="G62" s="53">
        <f t="shared" si="3"/>
        <v>20.09</v>
      </c>
    </row>
    <row r="63" spans="1:7" ht="36">
      <c r="A63" s="47"/>
      <c r="B63" s="48" t="s">
        <v>111</v>
      </c>
      <c r="C63" s="49" t="s">
        <v>753</v>
      </c>
      <c r="D63" s="50" t="s">
        <v>64</v>
      </c>
      <c r="E63" s="51">
        <v>30</v>
      </c>
      <c r="F63" s="52">
        <f>TRUNC(15.98,2)</f>
        <v>15.98</v>
      </c>
      <c r="G63" s="53">
        <f t="shared" si="3"/>
        <v>479.4</v>
      </c>
    </row>
    <row r="64" spans="1:7" ht="36">
      <c r="A64" s="47"/>
      <c r="B64" s="48" t="s">
        <v>116</v>
      </c>
      <c r="C64" s="49" t="s">
        <v>514</v>
      </c>
      <c r="D64" s="50" t="s">
        <v>64</v>
      </c>
      <c r="E64" s="51">
        <v>3.44</v>
      </c>
      <c r="F64" s="52">
        <f>TRUNC(9.96,2)</f>
        <v>9.96</v>
      </c>
      <c r="G64" s="53">
        <f t="shared" si="3"/>
        <v>34.26</v>
      </c>
    </row>
    <row r="65" spans="1:7" ht="36">
      <c r="A65" s="47"/>
      <c r="B65" s="48" t="s">
        <v>115</v>
      </c>
      <c r="C65" s="49" t="s">
        <v>515</v>
      </c>
      <c r="D65" s="50" t="s">
        <v>0</v>
      </c>
      <c r="E65" s="51">
        <v>1</v>
      </c>
      <c r="F65" s="52">
        <f>TRUNC(236.8,2)</f>
        <v>236.8</v>
      </c>
      <c r="G65" s="53">
        <f t="shared" si="3"/>
        <v>236.8</v>
      </c>
    </row>
    <row r="66" spans="1:7" ht="36">
      <c r="A66" s="47"/>
      <c r="B66" s="48" t="s">
        <v>118</v>
      </c>
      <c r="C66" s="49" t="s">
        <v>516</v>
      </c>
      <c r="D66" s="50" t="s">
        <v>7</v>
      </c>
      <c r="E66" s="51">
        <v>11.33</v>
      </c>
      <c r="F66" s="52">
        <f>TRUNC(17.3,2)</f>
        <v>17.3</v>
      </c>
      <c r="G66" s="53">
        <f t="shared" si="3"/>
        <v>196</v>
      </c>
    </row>
    <row r="67" spans="1:7" ht="36">
      <c r="A67" s="47"/>
      <c r="B67" s="48" t="s">
        <v>90</v>
      </c>
      <c r="C67" s="49" t="s">
        <v>409</v>
      </c>
      <c r="D67" s="50" t="s">
        <v>7</v>
      </c>
      <c r="E67" s="51">
        <v>8.24</v>
      </c>
      <c r="F67" s="52">
        <f>TRUNC(18.63,2)</f>
        <v>18.63</v>
      </c>
      <c r="G67" s="53">
        <f t="shared" si="3"/>
        <v>153.51</v>
      </c>
    </row>
    <row r="68" spans="1:7" ht="36">
      <c r="A68" s="47"/>
      <c r="B68" s="48" t="s">
        <v>46</v>
      </c>
      <c r="C68" s="49" t="s">
        <v>458</v>
      </c>
      <c r="D68" s="50" t="s">
        <v>7</v>
      </c>
      <c r="E68" s="51">
        <v>8.24</v>
      </c>
      <c r="F68" s="52">
        <f>TRUNC(17.3,2)</f>
        <v>17.3</v>
      </c>
      <c r="G68" s="53">
        <f t="shared" si="3"/>
        <v>142.55</v>
      </c>
    </row>
    <row r="69" spans="1:7" ht="36">
      <c r="A69" s="47"/>
      <c r="B69" s="48" t="s">
        <v>43</v>
      </c>
      <c r="C69" s="49" t="s">
        <v>44</v>
      </c>
      <c r="D69" s="50" t="s">
        <v>7</v>
      </c>
      <c r="E69" s="51">
        <v>8.24</v>
      </c>
      <c r="F69" s="52">
        <f>TRUNC(12.54,2)</f>
        <v>12.54</v>
      </c>
      <c r="G69" s="53">
        <f t="shared" si="3"/>
        <v>103.32</v>
      </c>
    </row>
    <row r="70" spans="1:7" ht="36">
      <c r="A70" s="47"/>
      <c r="B70" s="48" t="s">
        <v>113</v>
      </c>
      <c r="C70" s="49" t="s">
        <v>754</v>
      </c>
      <c r="D70" s="50" t="s">
        <v>0</v>
      </c>
      <c r="E70" s="51">
        <v>1</v>
      </c>
      <c r="F70" s="52">
        <f>TRUNC(793.36,2)</f>
        <v>793.36</v>
      </c>
      <c r="G70" s="53">
        <f t="shared" si="3"/>
        <v>793.36</v>
      </c>
    </row>
    <row r="71" spans="1:7" ht="18.75">
      <c r="A71" s="47"/>
      <c r="B71" s="48" t="s">
        <v>105</v>
      </c>
      <c r="C71" s="49" t="s">
        <v>750</v>
      </c>
      <c r="D71" s="50" t="s">
        <v>47</v>
      </c>
      <c r="E71" s="51">
        <v>8</v>
      </c>
      <c r="F71" s="52">
        <f>TRUNC(17.0199,2)</f>
        <v>17.01</v>
      </c>
      <c r="G71" s="53">
        <f t="shared" si="3"/>
        <v>136.08</v>
      </c>
    </row>
    <row r="72" spans="1:7" ht="36">
      <c r="A72" s="47"/>
      <c r="B72" s="48" t="s">
        <v>119</v>
      </c>
      <c r="C72" s="49" t="s">
        <v>517</v>
      </c>
      <c r="D72" s="50" t="s">
        <v>42</v>
      </c>
      <c r="E72" s="51">
        <v>0.018</v>
      </c>
      <c r="F72" s="52">
        <f>TRUNC(265.3836,2)</f>
        <v>265.38</v>
      </c>
      <c r="G72" s="53">
        <f t="shared" si="3"/>
        <v>4.77</v>
      </c>
    </row>
    <row r="73" spans="1:7" ht="18.75">
      <c r="A73" s="47"/>
      <c r="B73" s="48" t="s">
        <v>120</v>
      </c>
      <c r="C73" s="49" t="s">
        <v>518</v>
      </c>
      <c r="D73" s="50" t="s">
        <v>0</v>
      </c>
      <c r="E73" s="51">
        <v>1</v>
      </c>
      <c r="F73" s="52">
        <f>TRUNC(419.5952,2)</f>
        <v>419.59</v>
      </c>
      <c r="G73" s="53">
        <f t="shared" si="3"/>
        <v>419.59</v>
      </c>
    </row>
    <row r="74" spans="1:7" ht="18.75">
      <c r="A74" s="47"/>
      <c r="B74" s="48"/>
      <c r="C74" s="49"/>
      <c r="D74" s="50"/>
      <c r="E74" s="51" t="s">
        <v>5</v>
      </c>
      <c r="F74" s="52"/>
      <c r="G74" s="53">
        <f>TRUNC(SUM(G58:G73),2)</f>
        <v>2815.02</v>
      </c>
    </row>
    <row r="75" spans="1:7" ht="54">
      <c r="A75" s="71" t="s">
        <v>26</v>
      </c>
      <c r="B75" s="72" t="s">
        <v>121</v>
      </c>
      <c r="C75" s="73" t="s">
        <v>332</v>
      </c>
      <c r="D75" s="74" t="s">
        <v>0</v>
      </c>
      <c r="E75" s="75">
        <v>1</v>
      </c>
      <c r="F75" s="76">
        <f>TRUNC(F76,2)</f>
        <v>1366.17</v>
      </c>
      <c r="G75" s="77">
        <f>TRUNC((E75*F75),2)</f>
        <v>1366.17</v>
      </c>
    </row>
    <row r="76" spans="1:7" ht="90">
      <c r="A76" s="40"/>
      <c r="B76" s="41" t="s">
        <v>121</v>
      </c>
      <c r="C76" s="42" t="s">
        <v>755</v>
      </c>
      <c r="D76" s="43" t="s">
        <v>0</v>
      </c>
      <c r="E76" s="44">
        <v>1</v>
      </c>
      <c r="F76" s="45">
        <f>G90</f>
        <v>1366.17</v>
      </c>
      <c r="G76" s="46">
        <f aca="true" t="shared" si="4" ref="G76:G89">TRUNC(E76*F76,2)</f>
        <v>1366.17</v>
      </c>
    </row>
    <row r="77" spans="1:7" ht="18.75">
      <c r="A77" s="47"/>
      <c r="B77" s="48" t="s">
        <v>131</v>
      </c>
      <c r="C77" s="49" t="s">
        <v>756</v>
      </c>
      <c r="D77" s="50"/>
      <c r="E77" s="51">
        <v>1</v>
      </c>
      <c r="F77" s="52">
        <f>TRUNC(0.92,2)</f>
        <v>0.92</v>
      </c>
      <c r="G77" s="53">
        <f t="shared" si="4"/>
        <v>0.92</v>
      </c>
    </row>
    <row r="78" spans="1:7" ht="18.75">
      <c r="A78" s="47"/>
      <c r="B78" s="48" t="s">
        <v>130</v>
      </c>
      <c r="C78" s="49" t="s">
        <v>757</v>
      </c>
      <c r="D78" s="50" t="s">
        <v>0</v>
      </c>
      <c r="E78" s="51">
        <v>4</v>
      </c>
      <c r="F78" s="52">
        <f>TRUNC(17.66,2)</f>
        <v>17.66</v>
      </c>
      <c r="G78" s="53">
        <f t="shared" si="4"/>
        <v>70.64</v>
      </c>
    </row>
    <row r="79" spans="1:7" ht="18.75">
      <c r="A79" s="47"/>
      <c r="B79" s="48" t="s">
        <v>129</v>
      </c>
      <c r="C79" s="49" t="s">
        <v>519</v>
      </c>
      <c r="D79" s="50" t="s">
        <v>0</v>
      </c>
      <c r="E79" s="51">
        <v>4</v>
      </c>
      <c r="F79" s="52">
        <f>TRUNC(3.53,2)</f>
        <v>3.53</v>
      </c>
      <c r="G79" s="53">
        <f t="shared" si="4"/>
        <v>14.12</v>
      </c>
    </row>
    <row r="80" spans="1:7" ht="18.75">
      <c r="A80" s="47"/>
      <c r="B80" s="48" t="s">
        <v>128</v>
      </c>
      <c r="C80" s="49" t="s">
        <v>758</v>
      </c>
      <c r="D80" s="50" t="s">
        <v>64</v>
      </c>
      <c r="E80" s="51">
        <v>6</v>
      </c>
      <c r="F80" s="52">
        <f>TRUNC(22.7,2)</f>
        <v>22.7</v>
      </c>
      <c r="G80" s="53">
        <f t="shared" si="4"/>
        <v>136.2</v>
      </c>
    </row>
    <row r="81" spans="1:7" ht="36">
      <c r="A81" s="47"/>
      <c r="B81" s="48" t="s">
        <v>127</v>
      </c>
      <c r="C81" s="49" t="s">
        <v>759</v>
      </c>
      <c r="D81" s="50"/>
      <c r="E81" s="51">
        <v>1</v>
      </c>
      <c r="F81" s="52">
        <f>TRUNC(9.2,2)</f>
        <v>9.2</v>
      </c>
      <c r="G81" s="53">
        <f t="shared" si="4"/>
        <v>9.2</v>
      </c>
    </row>
    <row r="82" spans="1:7" ht="18.75">
      <c r="A82" s="47"/>
      <c r="B82" s="48" t="s">
        <v>760</v>
      </c>
      <c r="C82" s="49" t="s">
        <v>761</v>
      </c>
      <c r="D82" s="50" t="s">
        <v>0</v>
      </c>
      <c r="E82" s="51">
        <v>1</v>
      </c>
      <c r="F82" s="52">
        <f>TRUNC(69.38,2)</f>
        <v>69.38</v>
      </c>
      <c r="G82" s="53">
        <f t="shared" si="4"/>
        <v>69.38</v>
      </c>
    </row>
    <row r="83" spans="1:7" ht="36">
      <c r="A83" s="47"/>
      <c r="B83" s="48" t="s">
        <v>126</v>
      </c>
      <c r="C83" s="49" t="s">
        <v>762</v>
      </c>
      <c r="D83" s="50" t="s">
        <v>0</v>
      </c>
      <c r="E83" s="51">
        <v>2</v>
      </c>
      <c r="F83" s="52">
        <f>TRUNC(2.68,2)</f>
        <v>2.68</v>
      </c>
      <c r="G83" s="53">
        <f t="shared" si="4"/>
        <v>5.36</v>
      </c>
    </row>
    <row r="84" spans="1:7" ht="18.75">
      <c r="A84" s="47"/>
      <c r="B84" s="48" t="s">
        <v>125</v>
      </c>
      <c r="C84" s="49" t="s">
        <v>520</v>
      </c>
      <c r="D84" s="50" t="s">
        <v>0</v>
      </c>
      <c r="E84" s="51">
        <v>3</v>
      </c>
      <c r="F84" s="52">
        <f>TRUNC(27.3,2)</f>
        <v>27.3</v>
      </c>
      <c r="G84" s="53">
        <f t="shared" si="4"/>
        <v>81.9</v>
      </c>
    </row>
    <row r="85" spans="1:7" ht="36">
      <c r="A85" s="47"/>
      <c r="B85" s="48" t="s">
        <v>124</v>
      </c>
      <c r="C85" s="49" t="s">
        <v>763</v>
      </c>
      <c r="D85" s="50" t="s">
        <v>0</v>
      </c>
      <c r="E85" s="51">
        <v>4</v>
      </c>
      <c r="F85" s="52">
        <f>TRUNC(3.21,2)</f>
        <v>3.21</v>
      </c>
      <c r="G85" s="53">
        <f t="shared" si="4"/>
        <v>12.84</v>
      </c>
    </row>
    <row r="86" spans="1:7" ht="18.75">
      <c r="A86" s="47"/>
      <c r="B86" s="48" t="s">
        <v>123</v>
      </c>
      <c r="C86" s="49" t="s">
        <v>521</v>
      </c>
      <c r="D86" s="50" t="s">
        <v>64</v>
      </c>
      <c r="E86" s="51">
        <v>20</v>
      </c>
      <c r="F86" s="52">
        <f>TRUNC(5.5783,2)</f>
        <v>5.57</v>
      </c>
      <c r="G86" s="53">
        <f t="shared" si="4"/>
        <v>111.4</v>
      </c>
    </row>
    <row r="87" spans="1:7" ht="36">
      <c r="A87" s="47"/>
      <c r="B87" s="48" t="s">
        <v>122</v>
      </c>
      <c r="C87" s="49" t="s">
        <v>764</v>
      </c>
      <c r="D87" s="50" t="s">
        <v>64</v>
      </c>
      <c r="E87" s="51">
        <v>2</v>
      </c>
      <c r="F87" s="52">
        <f>TRUNC(58.29,2)</f>
        <v>58.29</v>
      </c>
      <c r="G87" s="53">
        <f t="shared" si="4"/>
        <v>116.58</v>
      </c>
    </row>
    <row r="88" spans="1:7" ht="36">
      <c r="A88" s="47"/>
      <c r="B88" s="48" t="s">
        <v>43</v>
      </c>
      <c r="C88" s="49" t="s">
        <v>44</v>
      </c>
      <c r="D88" s="50" t="s">
        <v>7</v>
      </c>
      <c r="E88" s="51">
        <v>24.72</v>
      </c>
      <c r="F88" s="52">
        <f>TRUNC(12.54,2)</f>
        <v>12.54</v>
      </c>
      <c r="G88" s="53">
        <f t="shared" si="4"/>
        <v>309.98</v>
      </c>
    </row>
    <row r="89" spans="1:7" ht="36">
      <c r="A89" s="47"/>
      <c r="B89" s="48" t="s">
        <v>104</v>
      </c>
      <c r="C89" s="49" t="s">
        <v>509</v>
      </c>
      <c r="D89" s="50" t="s">
        <v>7</v>
      </c>
      <c r="E89" s="51">
        <v>24.72</v>
      </c>
      <c r="F89" s="52">
        <f>TRUNC(17.3,2)</f>
        <v>17.3</v>
      </c>
      <c r="G89" s="53">
        <f t="shared" si="4"/>
        <v>427.65</v>
      </c>
    </row>
    <row r="90" spans="1:7" ht="18.75">
      <c r="A90" s="47"/>
      <c r="B90" s="48"/>
      <c r="C90" s="49"/>
      <c r="D90" s="50"/>
      <c r="E90" s="51" t="s">
        <v>5</v>
      </c>
      <c r="F90" s="52"/>
      <c r="G90" s="53">
        <f>TRUNC(SUM(G77:G89),2)</f>
        <v>1366.17</v>
      </c>
    </row>
    <row r="91" spans="1:7" ht="54">
      <c r="A91" s="33" t="s">
        <v>31</v>
      </c>
      <c r="B91" s="34" t="s">
        <v>314</v>
      </c>
      <c r="C91" s="35" t="s">
        <v>375</v>
      </c>
      <c r="D91" s="36" t="s">
        <v>203</v>
      </c>
      <c r="E91" s="37">
        <v>487.42</v>
      </c>
      <c r="F91" s="38">
        <f>TRUNC(F92,2)</f>
        <v>12.91</v>
      </c>
      <c r="G91" s="69">
        <f>TRUNC((E91*F91),2)</f>
        <v>6292.59</v>
      </c>
    </row>
    <row r="92" spans="1:7" ht="90">
      <c r="A92" s="40"/>
      <c r="B92" s="41" t="s">
        <v>314</v>
      </c>
      <c r="C92" s="42" t="s">
        <v>522</v>
      </c>
      <c r="D92" s="43" t="s">
        <v>47</v>
      </c>
      <c r="E92" s="44">
        <v>1</v>
      </c>
      <c r="F92" s="45">
        <f>G94</f>
        <v>12.91</v>
      </c>
      <c r="G92" s="46">
        <f>TRUNC(E92*F92,2)</f>
        <v>12.91</v>
      </c>
    </row>
    <row r="93" spans="1:7" ht="36">
      <c r="A93" s="47"/>
      <c r="B93" s="48" t="s">
        <v>43</v>
      </c>
      <c r="C93" s="49" t="s">
        <v>44</v>
      </c>
      <c r="D93" s="50" t="s">
        <v>7</v>
      </c>
      <c r="E93" s="51">
        <v>1.03</v>
      </c>
      <c r="F93" s="52">
        <f>TRUNC(12.54,2)</f>
        <v>12.54</v>
      </c>
      <c r="G93" s="53">
        <f>TRUNC(E93*F93,2)</f>
        <v>12.91</v>
      </c>
    </row>
    <row r="94" spans="1:7" ht="18.75">
      <c r="A94" s="47"/>
      <c r="B94" s="48"/>
      <c r="C94" s="49"/>
      <c r="D94" s="50"/>
      <c r="E94" s="51" t="s">
        <v>5</v>
      </c>
      <c r="F94" s="52"/>
      <c r="G94" s="53">
        <f>TRUNC(SUM(G93:G93),2)</f>
        <v>12.91</v>
      </c>
    </row>
    <row r="95" spans="1:7" ht="36">
      <c r="A95" s="71" t="s">
        <v>32</v>
      </c>
      <c r="B95" s="72" t="s">
        <v>197</v>
      </c>
      <c r="C95" s="73" t="s">
        <v>623</v>
      </c>
      <c r="D95" s="74" t="s">
        <v>64</v>
      </c>
      <c r="E95" s="75">
        <v>302.63</v>
      </c>
      <c r="F95" s="76">
        <f>TRUNC(F96,2)</f>
        <v>9.15</v>
      </c>
      <c r="G95" s="77">
        <f>TRUNC((E95*F95),2)</f>
        <v>2769.06</v>
      </c>
    </row>
    <row r="96" spans="1:7" ht="18.75">
      <c r="A96" s="40"/>
      <c r="B96" s="41" t="s">
        <v>197</v>
      </c>
      <c r="C96" s="42" t="s">
        <v>402</v>
      </c>
      <c r="D96" s="43" t="s">
        <v>64</v>
      </c>
      <c r="E96" s="44">
        <v>1</v>
      </c>
      <c r="F96" s="45">
        <f>G99</f>
        <v>9.1581</v>
      </c>
      <c r="G96" s="46">
        <f>E96*F96</f>
        <v>9.1581</v>
      </c>
    </row>
    <row r="97" spans="1:7" ht="18.75">
      <c r="A97" s="47"/>
      <c r="B97" s="48" t="s">
        <v>200</v>
      </c>
      <c r="C97" s="49" t="s">
        <v>201</v>
      </c>
      <c r="D97" s="50" t="s">
        <v>7</v>
      </c>
      <c r="E97" s="51">
        <v>0.21</v>
      </c>
      <c r="F97" s="52">
        <v>19.33</v>
      </c>
      <c r="G97" s="53">
        <f>E97*F97</f>
        <v>4.0592999999999995</v>
      </c>
    </row>
    <row r="98" spans="1:7" ht="18.75">
      <c r="A98" s="47"/>
      <c r="B98" s="48" t="s">
        <v>198</v>
      </c>
      <c r="C98" s="49" t="s">
        <v>199</v>
      </c>
      <c r="D98" s="50" t="s">
        <v>7</v>
      </c>
      <c r="E98" s="51">
        <v>0.21</v>
      </c>
      <c r="F98" s="52">
        <v>24.28</v>
      </c>
      <c r="G98" s="53">
        <f>E98*F98</f>
        <v>5.0988</v>
      </c>
    </row>
    <row r="99" spans="1:7" ht="18.75">
      <c r="A99" s="47"/>
      <c r="B99" s="48"/>
      <c r="C99" s="49"/>
      <c r="D99" s="50"/>
      <c r="E99" s="51" t="s">
        <v>5</v>
      </c>
      <c r="F99" s="52"/>
      <c r="G99" s="53">
        <f>SUM(G97:G98)</f>
        <v>9.1581</v>
      </c>
    </row>
    <row r="100" spans="1:7" ht="54">
      <c r="A100" s="33" t="s">
        <v>33</v>
      </c>
      <c r="B100" s="34" t="s">
        <v>202</v>
      </c>
      <c r="C100" s="35" t="s">
        <v>333</v>
      </c>
      <c r="D100" s="36" t="s">
        <v>0</v>
      </c>
      <c r="E100" s="37">
        <v>4</v>
      </c>
      <c r="F100" s="38">
        <f>TRUNC(G101,2)</f>
        <v>42.3</v>
      </c>
      <c r="G100" s="69">
        <f>TRUNC((E100*F100),2)</f>
        <v>169.2</v>
      </c>
    </row>
    <row r="101" spans="1:7" ht="90">
      <c r="A101" s="40"/>
      <c r="B101" s="41" t="s">
        <v>202</v>
      </c>
      <c r="C101" s="42" t="s">
        <v>523</v>
      </c>
      <c r="D101" s="43" t="s">
        <v>42</v>
      </c>
      <c r="E101" s="285">
        <v>0.17325</v>
      </c>
      <c r="F101" s="45">
        <f>TRUNC(244.21094,2)</f>
        <v>244.21</v>
      </c>
      <c r="G101" s="46">
        <f>TRUNC(E101*F101,2)</f>
        <v>42.3</v>
      </c>
    </row>
    <row r="102" spans="1:7" ht="36">
      <c r="A102" s="47"/>
      <c r="B102" s="48" t="s">
        <v>43</v>
      </c>
      <c r="C102" s="49" t="s">
        <v>44</v>
      </c>
      <c r="D102" s="50" t="s">
        <v>7</v>
      </c>
      <c r="E102" s="217">
        <v>17.201</v>
      </c>
      <c r="F102" s="52">
        <f>TRUNC(12.54,2)</f>
        <v>12.54</v>
      </c>
      <c r="G102" s="53">
        <f>TRUNC(E102*F102,2)</f>
        <v>215.7</v>
      </c>
    </row>
    <row r="103" spans="1:7" ht="36">
      <c r="A103" s="47"/>
      <c r="B103" s="48" t="s">
        <v>46</v>
      </c>
      <c r="C103" s="49" t="s">
        <v>458</v>
      </c>
      <c r="D103" s="50" t="s">
        <v>7</v>
      </c>
      <c r="E103" s="217">
        <v>1.6480000000000001</v>
      </c>
      <c r="F103" s="52">
        <f>TRUNC(17.3,2)</f>
        <v>17.3</v>
      </c>
      <c r="G103" s="53">
        <f>TRUNC(E103*F103,2)</f>
        <v>28.51</v>
      </c>
    </row>
    <row r="104" spans="1:7" ht="18.75">
      <c r="A104" s="47"/>
      <c r="B104" s="48"/>
      <c r="C104" s="49"/>
      <c r="D104" s="50"/>
      <c r="E104" s="217" t="s">
        <v>5</v>
      </c>
      <c r="F104" s="52"/>
      <c r="G104" s="53">
        <f>TRUNC(SUM(G102:G103),2)</f>
        <v>244.21</v>
      </c>
    </row>
    <row r="105" spans="1:7" ht="18.75">
      <c r="A105" s="54"/>
      <c r="B105" s="55"/>
      <c r="C105" s="196" t="s">
        <v>326</v>
      </c>
      <c r="D105" s="57"/>
      <c r="E105" s="58"/>
      <c r="F105" s="59"/>
      <c r="G105" s="60"/>
    </row>
    <row r="106" spans="1:7" ht="18.75">
      <c r="A106" s="61" t="s">
        <v>34</v>
      </c>
      <c r="B106" s="62" t="s">
        <v>275</v>
      </c>
      <c r="C106" s="63" t="s">
        <v>334</v>
      </c>
      <c r="D106" s="36" t="s">
        <v>0</v>
      </c>
      <c r="E106" s="65">
        <v>8</v>
      </c>
      <c r="F106" s="66">
        <f>TRUNC(F107,2)</f>
        <v>88.16</v>
      </c>
      <c r="G106" s="68">
        <f>TRUNC((E106*F106),2)</f>
        <v>705.28</v>
      </c>
    </row>
    <row r="107" spans="1:7" ht="36">
      <c r="A107" s="40"/>
      <c r="B107" s="41" t="s">
        <v>275</v>
      </c>
      <c r="C107" s="42" t="s">
        <v>765</v>
      </c>
      <c r="D107" s="43" t="s">
        <v>0</v>
      </c>
      <c r="E107" s="44">
        <v>1</v>
      </c>
      <c r="F107" s="45">
        <f>G109</f>
        <v>88.16</v>
      </c>
      <c r="G107" s="46">
        <f>TRUNC(E107*F107,2)</f>
        <v>88.16</v>
      </c>
    </row>
    <row r="108" spans="1:7" ht="54">
      <c r="A108" s="47"/>
      <c r="B108" s="48" t="s">
        <v>140</v>
      </c>
      <c r="C108" s="49" t="s">
        <v>434</v>
      </c>
      <c r="D108" s="50" t="s">
        <v>7</v>
      </c>
      <c r="E108" s="51">
        <v>8.24</v>
      </c>
      <c r="F108" s="52">
        <f>TRUNC(10.7,2)</f>
        <v>10.7</v>
      </c>
      <c r="G108" s="53">
        <f>TRUNC(E108*F108,2)</f>
        <v>88.16</v>
      </c>
    </row>
    <row r="109" spans="1:7" ht="18.75">
      <c r="A109" s="47"/>
      <c r="B109" s="48"/>
      <c r="C109" s="49"/>
      <c r="D109" s="50"/>
      <c r="E109" s="51" t="s">
        <v>5</v>
      </c>
      <c r="F109" s="52"/>
      <c r="G109" s="53">
        <f>TRUNC(SUM(G108:G108),2)</f>
        <v>88.16</v>
      </c>
    </row>
    <row r="110" spans="1:7" ht="18.75">
      <c r="A110" s="71" t="s">
        <v>132</v>
      </c>
      <c r="B110" s="72" t="s">
        <v>276</v>
      </c>
      <c r="C110" s="73" t="s">
        <v>335</v>
      </c>
      <c r="D110" s="74" t="s">
        <v>0</v>
      </c>
      <c r="E110" s="75">
        <v>4</v>
      </c>
      <c r="F110" s="76">
        <f>TRUNC(F111,2)</f>
        <v>5.51</v>
      </c>
      <c r="G110" s="77">
        <f>TRUNC((E110*F110),2)</f>
        <v>22.04</v>
      </c>
    </row>
    <row r="111" spans="1:7" ht="36">
      <c r="A111" s="40"/>
      <c r="B111" s="41" t="s">
        <v>276</v>
      </c>
      <c r="C111" s="42" t="s">
        <v>766</v>
      </c>
      <c r="D111" s="43" t="s">
        <v>0</v>
      </c>
      <c r="E111" s="44">
        <v>1</v>
      </c>
      <c r="F111" s="45">
        <f>G113</f>
        <v>5.51</v>
      </c>
      <c r="G111" s="46">
        <f>TRUNC(E111*F111,2)</f>
        <v>5.51</v>
      </c>
    </row>
    <row r="112" spans="1:7" ht="54">
      <c r="A112" s="47"/>
      <c r="B112" s="48" t="s">
        <v>140</v>
      </c>
      <c r="C112" s="49" t="s">
        <v>434</v>
      </c>
      <c r="D112" s="50" t="s">
        <v>7</v>
      </c>
      <c r="E112" s="51">
        <v>0.515</v>
      </c>
      <c r="F112" s="52">
        <f>TRUNC(10.7,2)</f>
        <v>10.7</v>
      </c>
      <c r="G112" s="53">
        <f>TRUNC(E112*F112,2)</f>
        <v>5.51</v>
      </c>
    </row>
    <row r="113" spans="1:7" ht="18.75">
      <c r="A113" s="47"/>
      <c r="B113" s="48"/>
      <c r="C113" s="49"/>
      <c r="D113" s="50"/>
      <c r="E113" s="51" t="s">
        <v>5</v>
      </c>
      <c r="F113" s="52"/>
      <c r="G113" s="53">
        <f>TRUNC(SUM(G112:G112),2)</f>
        <v>5.51</v>
      </c>
    </row>
    <row r="114" spans="1:7" ht="18.75">
      <c r="A114" s="71" t="s">
        <v>133</v>
      </c>
      <c r="B114" s="72" t="s">
        <v>315</v>
      </c>
      <c r="C114" s="73" t="s">
        <v>336</v>
      </c>
      <c r="D114" s="74" t="s">
        <v>42</v>
      </c>
      <c r="E114" s="75">
        <v>93.23</v>
      </c>
      <c r="F114" s="76">
        <f>TRUNC(F115,2)</f>
        <v>36.16</v>
      </c>
      <c r="G114" s="77">
        <f>TRUNC((E114*F114),2)</f>
        <v>3371.19</v>
      </c>
    </row>
    <row r="115" spans="1:7" ht="36">
      <c r="A115" s="40"/>
      <c r="B115" s="41" t="s">
        <v>315</v>
      </c>
      <c r="C115" s="42" t="s">
        <v>767</v>
      </c>
      <c r="D115" s="43" t="s">
        <v>42</v>
      </c>
      <c r="E115" s="44">
        <v>1</v>
      </c>
      <c r="F115" s="45">
        <f>G117</f>
        <v>36.16</v>
      </c>
      <c r="G115" s="46">
        <f>TRUNC(E115*F115,2)</f>
        <v>36.16</v>
      </c>
    </row>
    <row r="116" spans="1:7" ht="36">
      <c r="A116" s="47"/>
      <c r="B116" s="48" t="s">
        <v>43</v>
      </c>
      <c r="C116" s="49" t="s">
        <v>44</v>
      </c>
      <c r="D116" s="50" t="s">
        <v>7</v>
      </c>
      <c r="E116" s="51">
        <v>2.884</v>
      </c>
      <c r="F116" s="52">
        <f>TRUNC(12.54,2)</f>
        <v>12.54</v>
      </c>
      <c r="G116" s="53">
        <f>TRUNC(E116*F116,2)</f>
        <v>36.16</v>
      </c>
    </row>
    <row r="117" spans="1:7" ht="18.75">
      <c r="A117" s="47"/>
      <c r="B117" s="48"/>
      <c r="C117" s="49"/>
      <c r="D117" s="50"/>
      <c r="E117" s="51" t="s">
        <v>5</v>
      </c>
      <c r="F117" s="52"/>
      <c r="G117" s="53">
        <f>TRUNC(SUM(G116:G116),2)</f>
        <v>36.16</v>
      </c>
    </row>
    <row r="118" spans="1:7" ht="72">
      <c r="A118" s="71" t="s">
        <v>134</v>
      </c>
      <c r="B118" s="72" t="s">
        <v>204</v>
      </c>
      <c r="C118" s="73" t="s">
        <v>337</v>
      </c>
      <c r="D118" s="74" t="s">
        <v>42</v>
      </c>
      <c r="E118" s="75">
        <f>TRUNC((E114*1.1),2)</f>
        <v>102.55</v>
      </c>
      <c r="F118" s="76">
        <f>TRUNC(F119,2)</f>
        <v>23.02</v>
      </c>
      <c r="G118" s="77">
        <f>TRUNC((E118*F118),2)</f>
        <v>2360.7</v>
      </c>
    </row>
    <row r="119" spans="1:7" ht="90">
      <c r="A119" s="40"/>
      <c r="B119" s="41" t="s">
        <v>524</v>
      </c>
      <c r="C119" s="42" t="s">
        <v>768</v>
      </c>
      <c r="D119" s="43" t="s">
        <v>42</v>
      </c>
      <c r="E119" s="44">
        <v>1</v>
      </c>
      <c r="F119" s="45">
        <f>G125</f>
        <v>23.02</v>
      </c>
      <c r="G119" s="46">
        <f aca="true" t="shared" si="5" ref="G119:G124">TRUNC(E119*F119,2)</f>
        <v>23.02</v>
      </c>
    </row>
    <row r="120" spans="1:7" ht="36">
      <c r="A120" s="47"/>
      <c r="B120" s="48" t="s">
        <v>43</v>
      </c>
      <c r="C120" s="49" t="s">
        <v>44</v>
      </c>
      <c r="D120" s="50" t="s">
        <v>7</v>
      </c>
      <c r="E120" s="51">
        <v>0.0412</v>
      </c>
      <c r="F120" s="52">
        <f>TRUNC(12.54,2)</f>
        <v>12.54</v>
      </c>
      <c r="G120" s="53">
        <f t="shared" si="5"/>
        <v>0.51</v>
      </c>
    </row>
    <row r="121" spans="1:7" ht="36">
      <c r="A121" s="47"/>
      <c r="B121" s="48" t="s">
        <v>525</v>
      </c>
      <c r="C121" s="49" t="s">
        <v>526</v>
      </c>
      <c r="D121" s="50" t="s">
        <v>7</v>
      </c>
      <c r="E121" s="51">
        <v>0.02</v>
      </c>
      <c r="F121" s="52">
        <f>TRUNC(152.502,2)</f>
        <v>152.5</v>
      </c>
      <c r="G121" s="53">
        <f t="shared" si="5"/>
        <v>3.05</v>
      </c>
    </row>
    <row r="122" spans="1:7" ht="18.75">
      <c r="A122" s="47"/>
      <c r="B122" s="48" t="s">
        <v>527</v>
      </c>
      <c r="C122" s="49" t="s">
        <v>528</v>
      </c>
      <c r="D122" s="50" t="s">
        <v>7</v>
      </c>
      <c r="E122" s="51">
        <v>0.002</v>
      </c>
      <c r="F122" s="52">
        <f>TRUNC(79.09,2)</f>
        <v>79.09</v>
      </c>
      <c r="G122" s="53">
        <f t="shared" si="5"/>
        <v>0.15</v>
      </c>
    </row>
    <row r="123" spans="1:7" ht="18.75">
      <c r="A123" s="47"/>
      <c r="B123" s="48" t="s">
        <v>529</v>
      </c>
      <c r="C123" s="49" t="s">
        <v>530</v>
      </c>
      <c r="D123" s="50" t="s">
        <v>7</v>
      </c>
      <c r="E123" s="51">
        <v>0.018</v>
      </c>
      <c r="F123" s="52">
        <f>TRUNC(227.0375,2)</f>
        <v>227.03</v>
      </c>
      <c r="G123" s="53">
        <f t="shared" si="5"/>
        <v>4.08</v>
      </c>
    </row>
    <row r="124" spans="1:7" ht="18.75">
      <c r="A124" s="47"/>
      <c r="B124" s="48" t="s">
        <v>531</v>
      </c>
      <c r="C124" s="49" t="s">
        <v>532</v>
      </c>
      <c r="D124" s="50" t="s">
        <v>7</v>
      </c>
      <c r="E124" s="51">
        <v>0.1</v>
      </c>
      <c r="F124" s="52">
        <f>TRUNC(152.3072,2)</f>
        <v>152.3</v>
      </c>
      <c r="G124" s="53">
        <f t="shared" si="5"/>
        <v>15.23</v>
      </c>
    </row>
    <row r="125" spans="1:7" ht="18.75">
      <c r="A125" s="47"/>
      <c r="B125" s="48"/>
      <c r="C125" s="49"/>
      <c r="D125" s="50"/>
      <c r="E125" s="51" t="s">
        <v>5</v>
      </c>
      <c r="F125" s="52"/>
      <c r="G125" s="53">
        <f>TRUNC(SUM(G120:G124),2)</f>
        <v>23.02</v>
      </c>
    </row>
    <row r="126" spans="1:7" ht="18.75">
      <c r="A126" s="33" t="s">
        <v>316</v>
      </c>
      <c r="B126" s="34" t="s">
        <v>396</v>
      </c>
      <c r="C126" s="35" t="s">
        <v>397</v>
      </c>
      <c r="D126" s="36" t="s">
        <v>47</v>
      </c>
      <c r="E126" s="37">
        <v>26.19</v>
      </c>
      <c r="F126" s="38">
        <f>TRUNC(F127,2)</f>
        <v>2.67</v>
      </c>
      <c r="G126" s="69">
        <f>TRUNC((E126*F126),2)</f>
        <v>69.92</v>
      </c>
    </row>
    <row r="127" spans="1:9" ht="36">
      <c r="A127" s="40"/>
      <c r="B127" s="41" t="s">
        <v>396</v>
      </c>
      <c r="C127" s="42" t="s">
        <v>769</v>
      </c>
      <c r="D127" s="43" t="s">
        <v>47</v>
      </c>
      <c r="E127" s="44">
        <v>1</v>
      </c>
      <c r="F127" s="45">
        <f>G129</f>
        <v>2.67</v>
      </c>
      <c r="G127" s="46">
        <f>TRUNC(E127*F127,2)</f>
        <v>2.67</v>
      </c>
      <c r="I127" s="178"/>
    </row>
    <row r="128" spans="1:9" ht="36">
      <c r="A128" s="47"/>
      <c r="B128" s="48" t="s">
        <v>195</v>
      </c>
      <c r="C128" s="49" t="s">
        <v>196</v>
      </c>
      <c r="D128" s="50" t="s">
        <v>7</v>
      </c>
      <c r="E128" s="51">
        <v>0.2575</v>
      </c>
      <c r="F128" s="52">
        <f>TRUNC(10.39,2)</f>
        <v>10.39</v>
      </c>
      <c r="G128" s="53">
        <f>TRUNC(E128*F128,2)</f>
        <v>2.67</v>
      </c>
      <c r="I128" s="178"/>
    </row>
    <row r="129" spans="1:9" ht="18.75">
      <c r="A129" s="47"/>
      <c r="B129" s="48"/>
      <c r="C129" s="49"/>
      <c r="D129" s="50"/>
      <c r="E129" s="51" t="s">
        <v>5</v>
      </c>
      <c r="F129" s="52"/>
      <c r="G129" s="53">
        <f>TRUNC(SUM(G128:G128),2)</f>
        <v>2.67</v>
      </c>
      <c r="I129" s="178"/>
    </row>
    <row r="130" spans="1:7" ht="36">
      <c r="A130" s="33" t="s">
        <v>628</v>
      </c>
      <c r="B130" s="34" t="s">
        <v>629</v>
      </c>
      <c r="C130" s="35" t="s">
        <v>630</v>
      </c>
      <c r="D130" s="36" t="s">
        <v>47</v>
      </c>
      <c r="E130" s="37">
        <v>46.46</v>
      </c>
      <c r="F130" s="38">
        <f>TRUNC(F131,2)</f>
        <v>4.52</v>
      </c>
      <c r="G130" s="69">
        <f>TRUNC((E130*F130),2)</f>
        <v>209.99</v>
      </c>
    </row>
    <row r="131" spans="1:9" ht="54">
      <c r="A131" s="40"/>
      <c r="B131" s="41" t="s">
        <v>629</v>
      </c>
      <c r="C131" s="42" t="s">
        <v>770</v>
      </c>
      <c r="D131" s="43" t="s">
        <v>47</v>
      </c>
      <c r="E131" s="44">
        <v>1</v>
      </c>
      <c r="F131" s="45">
        <f>G133</f>
        <v>4.52</v>
      </c>
      <c r="G131" s="46">
        <f>TRUNC(E131*F131,2)</f>
        <v>4.52</v>
      </c>
      <c r="I131" s="178"/>
    </row>
    <row r="132" spans="1:9" ht="36">
      <c r="A132" s="47"/>
      <c r="B132" s="48" t="s">
        <v>43</v>
      </c>
      <c r="C132" s="49" t="s">
        <v>44</v>
      </c>
      <c r="D132" s="50" t="s">
        <v>7</v>
      </c>
      <c r="E132" s="51">
        <v>0.3605</v>
      </c>
      <c r="F132" s="52">
        <f>TRUNC(12.54,2)</f>
        <v>12.54</v>
      </c>
      <c r="G132" s="53">
        <f>TRUNC(E132*F132,2)</f>
        <v>4.52</v>
      </c>
      <c r="I132" s="178"/>
    </row>
    <row r="133" spans="1:9" ht="18.75">
      <c r="A133" s="47"/>
      <c r="B133" s="48"/>
      <c r="C133" s="49"/>
      <c r="D133" s="50"/>
      <c r="E133" s="51" t="s">
        <v>5</v>
      </c>
      <c r="F133" s="52"/>
      <c r="G133" s="53">
        <f>TRUNC(SUM(G132:G132),2)</f>
        <v>4.52</v>
      </c>
      <c r="I133" s="178"/>
    </row>
    <row r="134" spans="1:9" ht="18.75">
      <c r="A134" s="90"/>
      <c r="B134" s="286"/>
      <c r="C134" s="119"/>
      <c r="D134" s="91"/>
      <c r="E134" s="529" t="s">
        <v>37</v>
      </c>
      <c r="F134" s="529"/>
      <c r="G134" s="126">
        <f>G13+G24+G32+G52+G56+G75+G91+G95+G100+G106+G110+G114+G118+G126+G130</f>
        <v>44313.76999999999</v>
      </c>
      <c r="I134" s="178"/>
    </row>
    <row r="135" spans="1:9" ht="23.25" customHeight="1">
      <c r="A135" s="84" t="s">
        <v>27</v>
      </c>
      <c r="B135" s="84"/>
      <c r="C135" s="85" t="s">
        <v>211</v>
      </c>
      <c r="D135" s="86"/>
      <c r="E135" s="87"/>
      <c r="F135" s="88"/>
      <c r="G135" s="89"/>
      <c r="I135" s="178"/>
    </row>
    <row r="136" spans="1:7" ht="90">
      <c r="A136" s="105" t="s">
        <v>28</v>
      </c>
      <c r="B136" s="180" t="s">
        <v>771</v>
      </c>
      <c r="C136" s="73" t="s">
        <v>779</v>
      </c>
      <c r="D136" s="74" t="s">
        <v>64</v>
      </c>
      <c r="E136" s="107">
        <v>123.5</v>
      </c>
      <c r="F136" s="76">
        <f>TRUNC(F137,2)</f>
        <v>36.47</v>
      </c>
      <c r="G136" s="77">
        <f>TRUNC((E136*F136),2)</f>
        <v>4504.04</v>
      </c>
    </row>
    <row r="137" spans="1:8" ht="90">
      <c r="A137" s="99"/>
      <c r="B137" s="168" t="s">
        <v>771</v>
      </c>
      <c r="C137" s="49" t="s">
        <v>772</v>
      </c>
      <c r="D137" s="50" t="s">
        <v>64</v>
      </c>
      <c r="E137" s="101">
        <v>1</v>
      </c>
      <c r="F137" s="52">
        <f>G143</f>
        <v>36.47</v>
      </c>
      <c r="G137" s="53">
        <f aca="true" t="shared" si="6" ref="G137:G142">TRUNC(E137*F137,2)</f>
        <v>36.47</v>
      </c>
      <c r="H137" s="178"/>
    </row>
    <row r="138" spans="1:8" ht="36">
      <c r="A138" s="99"/>
      <c r="B138" s="168" t="s">
        <v>773</v>
      </c>
      <c r="C138" s="49" t="s">
        <v>774</v>
      </c>
      <c r="D138" s="50" t="s">
        <v>64</v>
      </c>
      <c r="E138" s="101">
        <v>1.005</v>
      </c>
      <c r="F138" s="52">
        <f>TRUNC(18,2)</f>
        <v>18</v>
      </c>
      <c r="G138" s="53">
        <f t="shared" si="6"/>
        <v>18.09</v>
      </c>
      <c r="H138" s="178"/>
    </row>
    <row r="139" spans="1:8" ht="36">
      <c r="A139" s="99"/>
      <c r="B139" s="168" t="s">
        <v>775</v>
      </c>
      <c r="C139" s="49" t="s">
        <v>776</v>
      </c>
      <c r="D139" s="50" t="s">
        <v>42</v>
      </c>
      <c r="E139" s="101">
        <v>0.007</v>
      </c>
      <c r="F139" s="52">
        <f>TRUNC(54.64,2)</f>
        <v>54.64</v>
      </c>
      <c r="G139" s="53">
        <f t="shared" si="6"/>
        <v>0.38</v>
      </c>
      <c r="H139" s="178"/>
    </row>
    <row r="140" spans="1:8" ht="18.75">
      <c r="A140" s="99"/>
      <c r="B140" s="168" t="s">
        <v>200</v>
      </c>
      <c r="C140" s="49" t="s">
        <v>201</v>
      </c>
      <c r="D140" s="50" t="s">
        <v>7</v>
      </c>
      <c r="E140" s="101">
        <v>0.394</v>
      </c>
      <c r="F140" s="52">
        <f>TRUNC(19.33,2)</f>
        <v>19.33</v>
      </c>
      <c r="G140" s="53">
        <f t="shared" si="6"/>
        <v>7.61</v>
      </c>
      <c r="H140" s="178"/>
    </row>
    <row r="141" spans="1:8" ht="18.75">
      <c r="A141" s="99"/>
      <c r="B141" s="168" t="s">
        <v>198</v>
      </c>
      <c r="C141" s="49" t="s">
        <v>199</v>
      </c>
      <c r="D141" s="50" t="s">
        <v>7</v>
      </c>
      <c r="E141" s="101">
        <v>0.394</v>
      </c>
      <c r="F141" s="52">
        <f>TRUNC(24.28,2)</f>
        <v>24.28</v>
      </c>
      <c r="G141" s="53">
        <f t="shared" si="6"/>
        <v>9.56</v>
      </c>
      <c r="H141" s="178"/>
    </row>
    <row r="142" spans="1:8" ht="36">
      <c r="A142" s="99"/>
      <c r="B142" s="168" t="s">
        <v>777</v>
      </c>
      <c r="C142" s="49" t="s">
        <v>778</v>
      </c>
      <c r="D142" s="50" t="s">
        <v>42</v>
      </c>
      <c r="E142" s="101">
        <v>0.002</v>
      </c>
      <c r="F142" s="52">
        <f>TRUNC(416.58,2)</f>
        <v>416.58</v>
      </c>
      <c r="G142" s="53">
        <f t="shared" si="6"/>
        <v>0.83</v>
      </c>
      <c r="H142" s="178"/>
    </row>
    <row r="143" spans="1:8" ht="18.75">
      <c r="A143" s="99"/>
      <c r="B143" s="168"/>
      <c r="C143" s="49"/>
      <c r="D143" s="50"/>
      <c r="E143" s="101" t="s">
        <v>5</v>
      </c>
      <c r="F143" s="52"/>
      <c r="G143" s="53">
        <f>TRUNC(SUM(G138:G142),2)</f>
        <v>36.47</v>
      </c>
      <c r="H143" s="178"/>
    </row>
    <row r="144" spans="1:7" ht="36">
      <c r="A144" s="105" t="s">
        <v>317</v>
      </c>
      <c r="B144" s="106" t="s">
        <v>136</v>
      </c>
      <c r="C144" s="73" t="s">
        <v>339</v>
      </c>
      <c r="D144" s="74" t="s">
        <v>64</v>
      </c>
      <c r="E144" s="107">
        <v>144.6</v>
      </c>
      <c r="F144" s="76">
        <f>TRUNC(F145,2)</f>
        <v>33.44</v>
      </c>
      <c r="G144" s="77">
        <f>TRUNC((E144*F144),2)</f>
        <v>4835.42</v>
      </c>
    </row>
    <row r="145" spans="1:7" ht="54">
      <c r="A145" s="95"/>
      <c r="B145" s="96" t="s">
        <v>136</v>
      </c>
      <c r="C145" s="42" t="s">
        <v>780</v>
      </c>
      <c r="D145" s="43" t="s">
        <v>64</v>
      </c>
      <c r="E145" s="97">
        <v>1</v>
      </c>
      <c r="F145" s="45">
        <f>G152</f>
        <v>33.44</v>
      </c>
      <c r="G145" s="46">
        <f aca="true" t="shared" si="7" ref="G145:G151">TRUNC(E145*F145,2)</f>
        <v>33.44</v>
      </c>
    </row>
    <row r="146" spans="1:7" ht="36">
      <c r="A146" s="99"/>
      <c r="B146" s="100" t="s">
        <v>43</v>
      </c>
      <c r="C146" s="49" t="s">
        <v>44</v>
      </c>
      <c r="D146" s="50" t="s">
        <v>7</v>
      </c>
      <c r="E146" s="101">
        <v>0.0927</v>
      </c>
      <c r="F146" s="52">
        <f>TRUNC(12.54,2)</f>
        <v>12.54</v>
      </c>
      <c r="G146" s="125">
        <f t="shared" si="7"/>
        <v>1.16</v>
      </c>
    </row>
    <row r="147" spans="1:7" ht="18.75">
      <c r="A147" s="99"/>
      <c r="B147" s="100" t="s">
        <v>139</v>
      </c>
      <c r="C147" s="49" t="s">
        <v>535</v>
      </c>
      <c r="D147" s="50" t="s">
        <v>47</v>
      </c>
      <c r="E147" s="101">
        <v>0.5</v>
      </c>
      <c r="F147" s="52">
        <f>TRUNC(47.6529,2)</f>
        <v>47.65</v>
      </c>
      <c r="G147" s="125">
        <f t="shared" si="7"/>
        <v>23.82</v>
      </c>
    </row>
    <row r="148" spans="1:7" ht="18.75">
      <c r="A148" s="99"/>
      <c r="B148" s="100" t="s">
        <v>138</v>
      </c>
      <c r="C148" s="49" t="s">
        <v>536</v>
      </c>
      <c r="D148" s="50" t="s">
        <v>42</v>
      </c>
      <c r="E148" s="101">
        <v>0.025</v>
      </c>
      <c r="F148" s="52">
        <f>TRUNC(57.1272,2)</f>
        <v>57.12</v>
      </c>
      <c r="G148" s="125">
        <f t="shared" si="7"/>
        <v>1.42</v>
      </c>
    </row>
    <row r="149" spans="1:7" ht="18.75">
      <c r="A149" s="99"/>
      <c r="B149" s="100" t="s">
        <v>137</v>
      </c>
      <c r="C149" s="49" t="s">
        <v>537</v>
      </c>
      <c r="D149" s="50" t="s">
        <v>42</v>
      </c>
      <c r="E149" s="101">
        <v>0.025</v>
      </c>
      <c r="F149" s="52">
        <f>TRUNC(63.5533,2)</f>
        <v>63.55</v>
      </c>
      <c r="G149" s="125">
        <f t="shared" si="7"/>
        <v>1.58</v>
      </c>
    </row>
    <row r="150" spans="1:7" ht="18.75">
      <c r="A150" s="99"/>
      <c r="B150" s="100" t="s">
        <v>51</v>
      </c>
      <c r="C150" s="49" t="s">
        <v>534</v>
      </c>
      <c r="D150" s="50" t="s">
        <v>42</v>
      </c>
      <c r="E150" s="101">
        <v>0.025</v>
      </c>
      <c r="F150" s="52">
        <f>TRUNC(210.7543,2)</f>
        <v>210.75</v>
      </c>
      <c r="G150" s="125">
        <f t="shared" si="7"/>
        <v>5.26</v>
      </c>
    </row>
    <row r="151" spans="1:7" ht="36">
      <c r="A151" s="99"/>
      <c r="B151" s="100" t="s">
        <v>135</v>
      </c>
      <c r="C151" s="49" t="s">
        <v>533</v>
      </c>
      <c r="D151" s="50" t="s">
        <v>42</v>
      </c>
      <c r="E151" s="101">
        <v>0.0008</v>
      </c>
      <c r="F151" s="52">
        <f>TRUNC(252.3475,2)</f>
        <v>252.34</v>
      </c>
      <c r="G151" s="125">
        <f t="shared" si="7"/>
        <v>0.2</v>
      </c>
    </row>
    <row r="152" spans="1:7" ht="18.75">
      <c r="A152" s="99"/>
      <c r="B152" s="100"/>
      <c r="C152" s="49"/>
      <c r="D152" s="50"/>
      <c r="E152" s="101" t="s">
        <v>5</v>
      </c>
      <c r="F152" s="52"/>
      <c r="G152" s="125">
        <f>TRUNC(SUM(G146:G151),2)</f>
        <v>33.44</v>
      </c>
    </row>
    <row r="153" spans="1:7" ht="36">
      <c r="A153" s="92" t="s">
        <v>318</v>
      </c>
      <c r="B153" s="182" t="s">
        <v>206</v>
      </c>
      <c r="C153" s="35" t="s">
        <v>340</v>
      </c>
      <c r="D153" s="36" t="s">
        <v>47</v>
      </c>
      <c r="E153" s="94">
        <v>415.62</v>
      </c>
      <c r="F153" s="38">
        <f>TRUNC(F154,2)</f>
        <v>56.82</v>
      </c>
      <c r="G153" s="69">
        <f>TRUNC((E153*F153),2)</f>
        <v>23615.52</v>
      </c>
    </row>
    <row r="154" spans="1:7" ht="54">
      <c r="A154" s="112"/>
      <c r="B154" s="113" t="s">
        <v>206</v>
      </c>
      <c r="C154" s="114" t="s">
        <v>400</v>
      </c>
      <c r="D154" s="115" t="s">
        <v>47</v>
      </c>
      <c r="E154" s="108">
        <v>1</v>
      </c>
      <c r="F154" s="116">
        <f>G164</f>
        <v>56.82</v>
      </c>
      <c r="G154" s="161">
        <f aca="true" t="shared" si="8" ref="G154:G163">TRUNC(E154*F154,2)</f>
        <v>56.82</v>
      </c>
    </row>
    <row r="155" spans="1:7" ht="72">
      <c r="A155" s="159"/>
      <c r="B155" s="155" t="s">
        <v>781</v>
      </c>
      <c r="C155" s="156" t="s">
        <v>782</v>
      </c>
      <c r="D155" s="157" t="s">
        <v>47</v>
      </c>
      <c r="E155" s="153">
        <v>1.0487</v>
      </c>
      <c r="F155" s="158">
        <f>TRUNC(33.61,2)</f>
        <v>33.61</v>
      </c>
      <c r="G155" s="162">
        <f t="shared" si="8"/>
        <v>35.24</v>
      </c>
    </row>
    <row r="156" spans="1:7" ht="18.75">
      <c r="A156" s="159"/>
      <c r="B156" s="155" t="s">
        <v>783</v>
      </c>
      <c r="C156" s="156" t="s">
        <v>784</v>
      </c>
      <c r="D156" s="157" t="s">
        <v>42</v>
      </c>
      <c r="E156" s="153">
        <v>0.0065</v>
      </c>
      <c r="F156" s="158">
        <f>TRUNC(57.27,2)</f>
        <v>57.27</v>
      </c>
      <c r="G156" s="162">
        <f t="shared" si="8"/>
        <v>0.37</v>
      </c>
    </row>
    <row r="157" spans="1:7" ht="36">
      <c r="A157" s="159"/>
      <c r="B157" s="155" t="s">
        <v>775</v>
      </c>
      <c r="C157" s="156" t="s">
        <v>776</v>
      </c>
      <c r="D157" s="157" t="s">
        <v>42</v>
      </c>
      <c r="E157" s="153">
        <v>0.0568</v>
      </c>
      <c r="F157" s="158">
        <f>TRUNC(54.64,2)</f>
        <v>54.64</v>
      </c>
      <c r="G157" s="162">
        <f t="shared" si="8"/>
        <v>3.1</v>
      </c>
    </row>
    <row r="158" spans="1:7" ht="18.75">
      <c r="A158" s="159"/>
      <c r="B158" s="155" t="s">
        <v>200</v>
      </c>
      <c r="C158" s="156" t="s">
        <v>201</v>
      </c>
      <c r="D158" s="157" t="s">
        <v>7</v>
      </c>
      <c r="E158" s="153">
        <v>0.3975</v>
      </c>
      <c r="F158" s="158">
        <f>TRUNC(19.33,2)</f>
        <v>19.33</v>
      </c>
      <c r="G158" s="162">
        <f t="shared" si="8"/>
        <v>7.68</v>
      </c>
    </row>
    <row r="159" spans="1:7" ht="18.75">
      <c r="A159" s="159"/>
      <c r="B159" s="155" t="s">
        <v>785</v>
      </c>
      <c r="C159" s="156" t="s">
        <v>786</v>
      </c>
      <c r="D159" s="157" t="s">
        <v>7</v>
      </c>
      <c r="E159" s="153">
        <v>0.3975</v>
      </c>
      <c r="F159" s="158">
        <f>TRUNC(24.14,2)</f>
        <v>24.14</v>
      </c>
      <c r="G159" s="162">
        <f t="shared" si="8"/>
        <v>9.59</v>
      </c>
    </row>
    <row r="160" spans="1:7" ht="72">
      <c r="A160" s="159"/>
      <c r="B160" s="155" t="s">
        <v>787</v>
      </c>
      <c r="C160" s="156" t="s">
        <v>788</v>
      </c>
      <c r="D160" s="157" t="s">
        <v>789</v>
      </c>
      <c r="E160" s="153">
        <v>0.1504</v>
      </c>
      <c r="F160" s="158">
        <f>TRUNC(0.65,2)</f>
        <v>0.65</v>
      </c>
      <c r="G160" s="162">
        <f t="shared" si="8"/>
        <v>0.09</v>
      </c>
    </row>
    <row r="161" spans="1:7" ht="72">
      <c r="A161" s="159"/>
      <c r="B161" s="155" t="s">
        <v>790</v>
      </c>
      <c r="C161" s="156" t="s">
        <v>791</v>
      </c>
      <c r="D161" s="157" t="s">
        <v>792</v>
      </c>
      <c r="E161" s="153">
        <v>0.0483</v>
      </c>
      <c r="F161" s="158">
        <f>TRUNC(11.04,2)</f>
        <v>11.04</v>
      </c>
      <c r="G161" s="162">
        <f t="shared" si="8"/>
        <v>0.53</v>
      </c>
    </row>
    <row r="162" spans="1:7" ht="54">
      <c r="A162" s="159"/>
      <c r="B162" s="155" t="s">
        <v>793</v>
      </c>
      <c r="C162" s="156" t="s">
        <v>794</v>
      </c>
      <c r="D162" s="157" t="s">
        <v>789</v>
      </c>
      <c r="E162" s="153">
        <v>0.1947</v>
      </c>
      <c r="F162" s="158">
        <f>TRUNC(1.03,2)</f>
        <v>1.03</v>
      </c>
      <c r="G162" s="162">
        <f t="shared" si="8"/>
        <v>0.2</v>
      </c>
    </row>
    <row r="163" spans="1:7" ht="54">
      <c r="A163" s="159"/>
      <c r="B163" s="155" t="s">
        <v>795</v>
      </c>
      <c r="C163" s="156" t="s">
        <v>796</v>
      </c>
      <c r="D163" s="157" t="s">
        <v>792</v>
      </c>
      <c r="E163" s="153">
        <v>0.0041</v>
      </c>
      <c r="F163" s="158">
        <f>TRUNC(6.1,2)</f>
        <v>6.1</v>
      </c>
      <c r="G163" s="162">
        <f t="shared" si="8"/>
        <v>0.02</v>
      </c>
    </row>
    <row r="164" spans="1:7" ht="18.75">
      <c r="A164" s="288"/>
      <c r="B164" s="289"/>
      <c r="C164" s="290"/>
      <c r="D164" s="291"/>
      <c r="E164" s="160" t="s">
        <v>5</v>
      </c>
      <c r="F164" s="292"/>
      <c r="G164" s="293">
        <f>TRUNC(SUM(G155:G163),2)</f>
        <v>56.82</v>
      </c>
    </row>
    <row r="165" spans="1:7" ht="54">
      <c r="A165" s="173" t="s">
        <v>29</v>
      </c>
      <c r="B165" s="287" t="s">
        <v>379</v>
      </c>
      <c r="C165" s="169" t="s">
        <v>393</v>
      </c>
      <c r="D165" s="170" t="s">
        <v>47</v>
      </c>
      <c r="E165" s="174">
        <v>3.45</v>
      </c>
      <c r="F165" s="171">
        <f>TRUNC(F166,2)</f>
        <v>110.17</v>
      </c>
      <c r="G165" s="172">
        <f>TRUNC((E165*F165),2)</f>
        <v>380.08</v>
      </c>
    </row>
    <row r="166" spans="1:7" ht="72">
      <c r="A166" s="95"/>
      <c r="B166" s="167" t="s">
        <v>379</v>
      </c>
      <c r="C166" s="42" t="s">
        <v>538</v>
      </c>
      <c r="D166" s="43" t="s">
        <v>47</v>
      </c>
      <c r="E166" s="97">
        <v>1</v>
      </c>
      <c r="F166" s="45">
        <f>G174</f>
        <v>110.17</v>
      </c>
      <c r="G166" s="46">
        <f aca="true" t="shared" si="9" ref="G166:G173">TRUNC(E166*F166,2)</f>
        <v>110.17</v>
      </c>
    </row>
    <row r="167" spans="1:7" ht="36">
      <c r="A167" s="99"/>
      <c r="B167" s="168" t="s">
        <v>392</v>
      </c>
      <c r="C167" s="49" t="s">
        <v>539</v>
      </c>
      <c r="D167" s="50" t="s">
        <v>47</v>
      </c>
      <c r="E167" s="101">
        <v>1.05</v>
      </c>
      <c r="F167" s="52">
        <f>TRUNC(56.7,2)</f>
        <v>56.7</v>
      </c>
      <c r="G167" s="53">
        <f t="shared" si="9"/>
        <v>59.53</v>
      </c>
    </row>
    <row r="168" spans="1:7" ht="18.75">
      <c r="A168" s="99"/>
      <c r="B168" s="168" t="s">
        <v>383</v>
      </c>
      <c r="C168" s="49" t="s">
        <v>384</v>
      </c>
      <c r="D168" s="50" t="s">
        <v>52</v>
      </c>
      <c r="E168" s="101">
        <v>0.1</v>
      </c>
      <c r="F168" s="52">
        <f>TRUNC(32,2)</f>
        <v>32</v>
      </c>
      <c r="G168" s="53">
        <f t="shared" si="9"/>
        <v>3.2</v>
      </c>
    </row>
    <row r="169" spans="1:7" ht="18.75">
      <c r="A169" s="99"/>
      <c r="B169" s="168" t="s">
        <v>381</v>
      </c>
      <c r="C169" s="49" t="s">
        <v>382</v>
      </c>
      <c r="D169" s="50" t="s">
        <v>52</v>
      </c>
      <c r="E169" s="101">
        <v>0.1</v>
      </c>
      <c r="F169" s="52">
        <f>TRUNC(1.85,2)</f>
        <v>1.85</v>
      </c>
      <c r="G169" s="53">
        <f t="shared" si="9"/>
        <v>0.18</v>
      </c>
    </row>
    <row r="170" spans="1:7" ht="36">
      <c r="A170" s="99"/>
      <c r="B170" s="168" t="s">
        <v>43</v>
      </c>
      <c r="C170" s="49" t="s">
        <v>44</v>
      </c>
      <c r="D170" s="50" t="s">
        <v>7</v>
      </c>
      <c r="E170" s="101">
        <v>1.1330000000000002</v>
      </c>
      <c r="F170" s="52">
        <f>TRUNC(12.54,2)</f>
        <v>12.54</v>
      </c>
      <c r="G170" s="53">
        <f t="shared" si="9"/>
        <v>14.2</v>
      </c>
    </row>
    <row r="171" spans="1:7" ht="36">
      <c r="A171" s="99"/>
      <c r="B171" s="168" t="s">
        <v>386</v>
      </c>
      <c r="C171" s="49" t="s">
        <v>387</v>
      </c>
      <c r="D171" s="50" t="s">
        <v>7</v>
      </c>
      <c r="E171" s="101">
        <v>1.1330000000000002</v>
      </c>
      <c r="F171" s="52">
        <f>TRUNC(18.63,2)</f>
        <v>18.63</v>
      </c>
      <c r="G171" s="53">
        <f t="shared" si="9"/>
        <v>21.1</v>
      </c>
    </row>
    <row r="172" spans="1:7" ht="36">
      <c r="A172" s="99"/>
      <c r="B172" s="168" t="s">
        <v>390</v>
      </c>
      <c r="C172" s="49" t="s">
        <v>391</v>
      </c>
      <c r="D172" s="50" t="s">
        <v>42</v>
      </c>
      <c r="E172" s="101">
        <v>0.035</v>
      </c>
      <c r="F172" s="52">
        <f>TRUNC(311.1322,2)</f>
        <v>311.13</v>
      </c>
      <c r="G172" s="53">
        <f t="shared" si="9"/>
        <v>10.88</v>
      </c>
    </row>
    <row r="173" spans="1:7" ht="18.75">
      <c r="A173" s="99"/>
      <c r="B173" s="168" t="s">
        <v>388</v>
      </c>
      <c r="C173" s="49" t="s">
        <v>389</v>
      </c>
      <c r="D173" s="50" t="s">
        <v>42</v>
      </c>
      <c r="E173" s="101">
        <v>0.002</v>
      </c>
      <c r="F173" s="52">
        <f>TRUNC(541.2458,2)</f>
        <v>541.24</v>
      </c>
      <c r="G173" s="53">
        <f t="shared" si="9"/>
        <v>1.08</v>
      </c>
    </row>
    <row r="174" spans="1:7" ht="18.75">
      <c r="A174" s="99"/>
      <c r="B174" s="168"/>
      <c r="C174" s="49"/>
      <c r="D174" s="50"/>
      <c r="E174" s="101" t="s">
        <v>5</v>
      </c>
      <c r="F174" s="52"/>
      <c r="G174" s="53">
        <f>TRUNC(SUM(G167:G173),2)</f>
        <v>110.17</v>
      </c>
    </row>
    <row r="175" spans="1:7" ht="54">
      <c r="A175" s="105" t="s">
        <v>194</v>
      </c>
      <c r="B175" s="106" t="s">
        <v>380</v>
      </c>
      <c r="C175" s="73" t="s">
        <v>394</v>
      </c>
      <c r="D175" s="74" t="s">
        <v>47</v>
      </c>
      <c r="E175" s="107">
        <v>14.96</v>
      </c>
      <c r="F175" s="76">
        <f>TRUNC(F176,2)</f>
        <v>110.17</v>
      </c>
      <c r="G175" s="77">
        <f>TRUNC((E175*F175),2)</f>
        <v>1648.14</v>
      </c>
    </row>
    <row r="176" spans="1:7" ht="90">
      <c r="A176" s="95"/>
      <c r="B176" s="167" t="s">
        <v>380</v>
      </c>
      <c r="C176" s="42" t="s">
        <v>540</v>
      </c>
      <c r="D176" s="43" t="s">
        <v>47</v>
      </c>
      <c r="E176" s="97">
        <v>1</v>
      </c>
      <c r="F176" s="45">
        <f>G184</f>
        <v>110.17</v>
      </c>
      <c r="G176" s="46">
        <f aca="true" t="shared" si="10" ref="G176:G183">TRUNC(E176*F176,2)</f>
        <v>110.17</v>
      </c>
    </row>
    <row r="177" spans="1:7" ht="36">
      <c r="A177" s="99"/>
      <c r="B177" s="168" t="s">
        <v>385</v>
      </c>
      <c r="C177" s="49" t="s">
        <v>541</v>
      </c>
      <c r="D177" s="50" t="s">
        <v>47</v>
      </c>
      <c r="E177" s="101">
        <v>1.05</v>
      </c>
      <c r="F177" s="52">
        <f>TRUNC(56.7,2)</f>
        <v>56.7</v>
      </c>
      <c r="G177" s="53">
        <f t="shared" si="10"/>
        <v>59.53</v>
      </c>
    </row>
    <row r="178" spans="1:7" ht="18.75">
      <c r="A178" s="99"/>
      <c r="B178" s="168" t="s">
        <v>383</v>
      </c>
      <c r="C178" s="49" t="s">
        <v>384</v>
      </c>
      <c r="D178" s="50" t="s">
        <v>52</v>
      </c>
      <c r="E178" s="101">
        <v>0.1</v>
      </c>
      <c r="F178" s="52">
        <f>TRUNC(32,2)</f>
        <v>32</v>
      </c>
      <c r="G178" s="53">
        <f t="shared" si="10"/>
        <v>3.2</v>
      </c>
    </row>
    <row r="179" spans="1:7" ht="18.75">
      <c r="A179" s="99"/>
      <c r="B179" s="168" t="s">
        <v>381</v>
      </c>
      <c r="C179" s="49" t="s">
        <v>382</v>
      </c>
      <c r="D179" s="50" t="s">
        <v>52</v>
      </c>
      <c r="E179" s="101">
        <v>0.1</v>
      </c>
      <c r="F179" s="52">
        <f>TRUNC(1.85,2)</f>
        <v>1.85</v>
      </c>
      <c r="G179" s="53">
        <f t="shared" si="10"/>
        <v>0.18</v>
      </c>
    </row>
    <row r="180" spans="1:7" ht="36">
      <c r="A180" s="99"/>
      <c r="B180" s="168" t="s">
        <v>43</v>
      </c>
      <c r="C180" s="49" t="s">
        <v>44</v>
      </c>
      <c r="D180" s="50" t="s">
        <v>7</v>
      </c>
      <c r="E180" s="101">
        <v>1.1330000000000002</v>
      </c>
      <c r="F180" s="52">
        <f>TRUNC(12.54,2)</f>
        <v>12.54</v>
      </c>
      <c r="G180" s="53">
        <f t="shared" si="10"/>
        <v>14.2</v>
      </c>
    </row>
    <row r="181" spans="1:7" ht="36">
      <c r="A181" s="99"/>
      <c r="B181" s="168" t="s">
        <v>386</v>
      </c>
      <c r="C181" s="49" t="s">
        <v>387</v>
      </c>
      <c r="D181" s="50" t="s">
        <v>7</v>
      </c>
      <c r="E181" s="101">
        <v>1.1330000000000002</v>
      </c>
      <c r="F181" s="52">
        <f>TRUNC(18.63,2)</f>
        <v>18.63</v>
      </c>
      <c r="G181" s="53">
        <f t="shared" si="10"/>
        <v>21.1</v>
      </c>
    </row>
    <row r="182" spans="1:7" ht="36">
      <c r="A182" s="99"/>
      <c r="B182" s="168" t="s">
        <v>390</v>
      </c>
      <c r="C182" s="49" t="s">
        <v>391</v>
      </c>
      <c r="D182" s="50" t="s">
        <v>42</v>
      </c>
      <c r="E182" s="101">
        <v>0.035</v>
      </c>
      <c r="F182" s="52">
        <f>TRUNC(311.1322,2)</f>
        <v>311.13</v>
      </c>
      <c r="G182" s="53">
        <f t="shared" si="10"/>
        <v>10.88</v>
      </c>
    </row>
    <row r="183" spans="1:7" ht="18.75">
      <c r="A183" s="99"/>
      <c r="B183" s="168" t="s">
        <v>388</v>
      </c>
      <c r="C183" s="49" t="s">
        <v>389</v>
      </c>
      <c r="D183" s="50" t="s">
        <v>42</v>
      </c>
      <c r="E183" s="101">
        <v>0.002</v>
      </c>
      <c r="F183" s="52">
        <f>TRUNC(541.2458,2)</f>
        <v>541.24</v>
      </c>
      <c r="G183" s="53">
        <f t="shared" si="10"/>
        <v>1.08</v>
      </c>
    </row>
    <row r="184" spans="1:7" ht="18.75">
      <c r="A184" s="99"/>
      <c r="B184" s="168"/>
      <c r="C184" s="49"/>
      <c r="D184" s="50"/>
      <c r="E184" s="101" t="s">
        <v>5</v>
      </c>
      <c r="F184" s="52"/>
      <c r="G184" s="53">
        <f>TRUNC(SUM(G177:G183),2)</f>
        <v>110.17</v>
      </c>
    </row>
    <row r="185" spans="1:7" ht="36">
      <c r="A185" s="92" t="s">
        <v>30</v>
      </c>
      <c r="B185" s="166" t="s">
        <v>207</v>
      </c>
      <c r="C185" s="35" t="s">
        <v>395</v>
      </c>
      <c r="D185" s="36" t="s">
        <v>47</v>
      </c>
      <c r="E185" s="94">
        <v>20.91</v>
      </c>
      <c r="F185" s="38">
        <f>TRUNC(F186,2)</f>
        <v>81.95</v>
      </c>
      <c r="G185" s="39">
        <f>TRUNC((E185*F185),2)</f>
        <v>1713.57</v>
      </c>
    </row>
    <row r="186" spans="1:7" ht="36">
      <c r="A186" s="95"/>
      <c r="B186" s="167" t="s">
        <v>207</v>
      </c>
      <c r="C186" s="42" t="s">
        <v>208</v>
      </c>
      <c r="D186" s="43" t="s">
        <v>47</v>
      </c>
      <c r="E186" s="97">
        <v>1</v>
      </c>
      <c r="F186" s="45">
        <f>G192</f>
        <v>81.95</v>
      </c>
      <c r="G186" s="46">
        <f aca="true" t="shared" si="11" ref="G186:G191">TRUNC(E186*F186,2)</f>
        <v>81.95</v>
      </c>
    </row>
    <row r="187" spans="1:7" ht="54">
      <c r="A187" s="99"/>
      <c r="B187" s="168" t="s">
        <v>209</v>
      </c>
      <c r="C187" s="49" t="s">
        <v>210</v>
      </c>
      <c r="D187" s="50" t="s">
        <v>47</v>
      </c>
      <c r="E187" s="101">
        <v>1.05</v>
      </c>
      <c r="F187" s="52">
        <f>TRUNC(16.79,2)</f>
        <v>16.79</v>
      </c>
      <c r="G187" s="53">
        <f t="shared" si="11"/>
        <v>17.62</v>
      </c>
    </row>
    <row r="188" spans="1:7" ht="18.75">
      <c r="A188" s="99"/>
      <c r="B188" s="168" t="s">
        <v>200</v>
      </c>
      <c r="C188" s="49" t="s">
        <v>201</v>
      </c>
      <c r="D188" s="50" t="s">
        <v>7</v>
      </c>
      <c r="E188" s="101">
        <v>1.94</v>
      </c>
      <c r="F188" s="52">
        <f>TRUNC(19.33,2)</f>
        <v>19.33</v>
      </c>
      <c r="G188" s="53">
        <f t="shared" si="11"/>
        <v>37.5</v>
      </c>
    </row>
    <row r="189" spans="1:7" ht="18.75">
      <c r="A189" s="99"/>
      <c r="B189" s="168" t="s">
        <v>198</v>
      </c>
      <c r="C189" s="49" t="s">
        <v>199</v>
      </c>
      <c r="D189" s="50" t="s">
        <v>7</v>
      </c>
      <c r="E189" s="101">
        <v>0.26</v>
      </c>
      <c r="F189" s="52">
        <f>TRUNC(24.28,2)</f>
        <v>24.28</v>
      </c>
      <c r="G189" s="53">
        <f t="shared" si="11"/>
        <v>6.31</v>
      </c>
    </row>
    <row r="190" spans="1:7" ht="18.75">
      <c r="A190" s="99"/>
      <c r="B190" s="168" t="s">
        <v>797</v>
      </c>
      <c r="C190" s="49" t="s">
        <v>798</v>
      </c>
      <c r="D190" s="50" t="s">
        <v>7</v>
      </c>
      <c r="E190" s="101">
        <v>0.02</v>
      </c>
      <c r="F190" s="52">
        <f>TRUNC(24.14,2)</f>
        <v>24.14</v>
      </c>
      <c r="G190" s="53">
        <f t="shared" si="11"/>
        <v>0.48</v>
      </c>
    </row>
    <row r="191" spans="1:7" ht="54">
      <c r="A191" s="99"/>
      <c r="B191" s="168" t="s">
        <v>398</v>
      </c>
      <c r="C191" s="49" t="s">
        <v>399</v>
      </c>
      <c r="D191" s="50" t="s">
        <v>42</v>
      </c>
      <c r="E191" s="101">
        <v>0.07</v>
      </c>
      <c r="F191" s="52">
        <f>TRUNC(286.39,2)</f>
        <v>286.39</v>
      </c>
      <c r="G191" s="53">
        <f t="shared" si="11"/>
        <v>20.04</v>
      </c>
    </row>
    <row r="192" spans="1:7" ht="18.75">
      <c r="A192" s="102"/>
      <c r="B192" s="175"/>
      <c r="C192" s="56"/>
      <c r="D192" s="57"/>
      <c r="E192" s="104" t="s">
        <v>5</v>
      </c>
      <c r="F192" s="59"/>
      <c r="G192" s="60">
        <f>TRUNC(SUM(G187:G191),2)</f>
        <v>81.95</v>
      </c>
    </row>
    <row r="193" spans="1:7" ht="54">
      <c r="A193" s="109" t="s">
        <v>65</v>
      </c>
      <c r="B193" s="220" t="s">
        <v>618</v>
      </c>
      <c r="C193" s="63" t="s">
        <v>660</v>
      </c>
      <c r="D193" s="64" t="s">
        <v>47</v>
      </c>
      <c r="E193" s="111">
        <v>16.07</v>
      </c>
      <c r="F193" s="66">
        <f>TRUNC(F194,2)</f>
        <v>21.83</v>
      </c>
      <c r="G193" s="68">
        <f>TRUNC((E193*F193),2)</f>
        <v>350.8</v>
      </c>
    </row>
    <row r="194" spans="1:7" ht="36">
      <c r="A194" s="95"/>
      <c r="B194" s="167" t="s">
        <v>618</v>
      </c>
      <c r="C194" s="42" t="s">
        <v>799</v>
      </c>
      <c r="D194" s="43" t="s">
        <v>47</v>
      </c>
      <c r="E194" s="97">
        <v>1</v>
      </c>
      <c r="F194" s="98">
        <f>G198</f>
        <v>21.83</v>
      </c>
      <c r="G194" s="46">
        <f>TRUNC(E194*F194,2)</f>
        <v>21.83</v>
      </c>
    </row>
    <row r="195" spans="1:7" ht="18.75">
      <c r="A195" s="99"/>
      <c r="B195" s="168" t="s">
        <v>200</v>
      </c>
      <c r="C195" s="49" t="s">
        <v>201</v>
      </c>
      <c r="D195" s="50" t="s">
        <v>7</v>
      </c>
      <c r="E195" s="101">
        <v>0.0741</v>
      </c>
      <c r="F195" s="78">
        <f>TRUNC(19.33,2)</f>
        <v>19.33</v>
      </c>
      <c r="G195" s="53">
        <f>TRUNC(E195*F195,2)</f>
        <v>1.43</v>
      </c>
    </row>
    <row r="196" spans="1:7" ht="18.75">
      <c r="A196" s="99"/>
      <c r="B196" s="168" t="s">
        <v>198</v>
      </c>
      <c r="C196" s="49" t="s">
        <v>199</v>
      </c>
      <c r="D196" s="50" t="s">
        <v>7</v>
      </c>
      <c r="E196" s="101">
        <v>0.2718</v>
      </c>
      <c r="F196" s="78">
        <f>TRUNC(24.28,2)</f>
        <v>24.28</v>
      </c>
      <c r="G196" s="53">
        <f>TRUNC(E196*F196,2)</f>
        <v>6.59</v>
      </c>
    </row>
    <row r="197" spans="1:7" ht="54">
      <c r="A197" s="99"/>
      <c r="B197" s="168" t="s">
        <v>619</v>
      </c>
      <c r="C197" s="49" t="s">
        <v>620</v>
      </c>
      <c r="D197" s="50" t="s">
        <v>42</v>
      </c>
      <c r="E197" s="101">
        <v>0.0565</v>
      </c>
      <c r="F197" s="78">
        <f>TRUNC(244.56,2)</f>
        <v>244.56</v>
      </c>
      <c r="G197" s="53">
        <f>TRUNC(E197*F197,2)</f>
        <v>13.81</v>
      </c>
    </row>
    <row r="198" spans="1:7" ht="18.75">
      <c r="A198" s="99"/>
      <c r="B198" s="168"/>
      <c r="C198" s="49"/>
      <c r="D198" s="50"/>
      <c r="E198" s="101" t="s">
        <v>5</v>
      </c>
      <c r="F198" s="78"/>
      <c r="G198" s="53">
        <f>TRUNC(SUM(G195:G197),2)</f>
        <v>21.83</v>
      </c>
    </row>
    <row r="199" spans="1:7" ht="18.75">
      <c r="A199" s="90"/>
      <c r="B199" s="118"/>
      <c r="C199" s="119"/>
      <c r="D199" s="91"/>
      <c r="E199" s="529" t="s">
        <v>36</v>
      </c>
      <c r="F199" s="529"/>
      <c r="G199" s="126">
        <f>G136+G144+G153+G165+G175+G185+G193</f>
        <v>37047.57</v>
      </c>
    </row>
    <row r="200" spans="1:7" ht="18.75">
      <c r="A200" s="84" t="s">
        <v>60</v>
      </c>
      <c r="B200" s="84"/>
      <c r="C200" s="85" t="s">
        <v>212</v>
      </c>
      <c r="D200" s="86"/>
      <c r="E200" s="87"/>
      <c r="F200" s="88"/>
      <c r="G200" s="89"/>
    </row>
    <row r="201" spans="1:7" ht="112.5">
      <c r="A201" s="105" t="s">
        <v>45</v>
      </c>
      <c r="B201" s="394" t="s">
        <v>838</v>
      </c>
      <c r="C201" s="73" t="s">
        <v>826</v>
      </c>
      <c r="D201" s="74" t="s">
        <v>64</v>
      </c>
      <c r="E201" s="107">
        <f>52*2</f>
        <v>104</v>
      </c>
      <c r="F201" s="76">
        <f>TRUNC((F202+G205+G212+G217+G223+G229),2)</f>
        <v>50.66</v>
      </c>
      <c r="G201" s="77">
        <f>TRUNC((E201*F201),2)</f>
        <v>5268.64</v>
      </c>
    </row>
    <row r="202" spans="1:7" ht="36">
      <c r="A202" s="90" t="s">
        <v>141</v>
      </c>
      <c r="B202" s="395" t="s">
        <v>471</v>
      </c>
      <c r="C202" s="119" t="s">
        <v>472</v>
      </c>
      <c r="D202" s="91" t="s">
        <v>64</v>
      </c>
      <c r="E202" s="396">
        <v>1</v>
      </c>
      <c r="F202" s="397">
        <f>G204</f>
        <v>18.08268</v>
      </c>
      <c r="G202" s="398">
        <f>E202*F202</f>
        <v>18.08268</v>
      </c>
    </row>
    <row r="203" spans="1:7" ht="36">
      <c r="A203" s="99"/>
      <c r="B203" s="168" t="s">
        <v>43</v>
      </c>
      <c r="C203" s="49" t="s">
        <v>44</v>
      </c>
      <c r="D203" s="50" t="s">
        <v>7</v>
      </c>
      <c r="E203" s="101">
        <v>1.442</v>
      </c>
      <c r="F203" s="52">
        <v>12.54</v>
      </c>
      <c r="G203" s="125">
        <f>E203*F203</f>
        <v>18.08268</v>
      </c>
    </row>
    <row r="204" spans="1:7" ht="18.75">
      <c r="A204" s="99"/>
      <c r="B204" s="168"/>
      <c r="C204" s="49"/>
      <c r="D204" s="50"/>
      <c r="E204" s="101" t="s">
        <v>5</v>
      </c>
      <c r="F204" s="52"/>
      <c r="G204" s="125">
        <f>SUM(G203:G203)</f>
        <v>18.08268</v>
      </c>
    </row>
    <row r="205" spans="1:7" ht="72">
      <c r="A205" s="90" t="s">
        <v>142</v>
      </c>
      <c r="B205" s="395" t="s">
        <v>837</v>
      </c>
      <c r="C205" s="119" t="s">
        <v>823</v>
      </c>
      <c r="D205" s="91" t="s">
        <v>42</v>
      </c>
      <c r="E205" s="399">
        <f>7.35/104</f>
        <v>0.07067307692307692</v>
      </c>
      <c r="F205" s="400">
        <f>F206</f>
        <v>408.08</v>
      </c>
      <c r="G205" s="401">
        <f>E205*F205</f>
        <v>28.84026923076923</v>
      </c>
    </row>
    <row r="206" spans="1:7" ht="72">
      <c r="A206" s="99"/>
      <c r="B206" s="168" t="s">
        <v>822</v>
      </c>
      <c r="C206" s="49" t="s">
        <v>823</v>
      </c>
      <c r="D206" s="50" t="s">
        <v>42</v>
      </c>
      <c r="E206" s="402">
        <v>1</v>
      </c>
      <c r="F206" s="52">
        <f>G210</f>
        <v>408.08</v>
      </c>
      <c r="G206" s="125">
        <f>TRUNC(E206*F206,2)</f>
        <v>408.08</v>
      </c>
    </row>
    <row r="207" spans="1:7" ht="18.75">
      <c r="A207" s="99"/>
      <c r="B207" s="168" t="s">
        <v>475</v>
      </c>
      <c r="C207" s="49" t="s">
        <v>476</v>
      </c>
      <c r="D207" s="50" t="s">
        <v>42</v>
      </c>
      <c r="E207" s="402">
        <v>1</v>
      </c>
      <c r="F207" s="52">
        <f>TRUNC(90.0921,2)</f>
        <v>90.09</v>
      </c>
      <c r="G207" s="125">
        <f>TRUNC(E207*F207,2)</f>
        <v>90.09</v>
      </c>
    </row>
    <row r="208" spans="1:7" ht="18.75">
      <c r="A208" s="99"/>
      <c r="B208" s="168" t="s">
        <v>473</v>
      </c>
      <c r="C208" s="49" t="s">
        <v>474</v>
      </c>
      <c r="D208" s="50" t="s">
        <v>42</v>
      </c>
      <c r="E208" s="402">
        <v>1</v>
      </c>
      <c r="F208" s="52">
        <f>TRUNC(62.5904,2)</f>
        <v>62.59</v>
      </c>
      <c r="G208" s="125">
        <f>TRUNC(E208*F208,2)</f>
        <v>62.59</v>
      </c>
    </row>
    <row r="209" spans="1:7" ht="18.75">
      <c r="A209" s="99"/>
      <c r="B209" s="168" t="s">
        <v>824</v>
      </c>
      <c r="C209" s="49" t="s">
        <v>825</v>
      </c>
      <c r="D209" s="50" t="s">
        <v>42</v>
      </c>
      <c r="E209" s="402">
        <v>1</v>
      </c>
      <c r="F209" s="52">
        <f>TRUNC(255.403,2)</f>
        <v>255.4</v>
      </c>
      <c r="G209" s="125">
        <f>TRUNC(E209*F209,2)</f>
        <v>255.4</v>
      </c>
    </row>
    <row r="210" spans="1:7" ht="18.75">
      <c r="A210" s="99"/>
      <c r="B210" s="168"/>
      <c r="C210" s="49"/>
      <c r="D210" s="50"/>
      <c r="E210" s="402" t="s">
        <v>5</v>
      </c>
      <c r="F210" s="52"/>
      <c r="G210" s="125">
        <f>TRUNC(SUM(G207:G209),2)</f>
        <v>408.08</v>
      </c>
    </row>
    <row r="211" spans="1:7" s="471" customFormat="1" ht="51" customHeight="1">
      <c r="A211" s="528" t="s">
        <v>1038</v>
      </c>
      <c r="B211" s="528"/>
      <c r="C211" s="528"/>
      <c r="D211" s="528"/>
      <c r="E211" s="528"/>
      <c r="F211" s="528"/>
      <c r="G211" s="528"/>
    </row>
    <row r="212" spans="1:7" ht="72">
      <c r="A212" s="90" t="s">
        <v>143</v>
      </c>
      <c r="B212" s="395" t="s">
        <v>829</v>
      </c>
      <c r="C212" s="119" t="s">
        <v>830</v>
      </c>
      <c r="D212" s="91" t="s">
        <v>52</v>
      </c>
      <c r="E212" s="399">
        <f>127.53/7.35/104</f>
        <v>0.16683673469387755</v>
      </c>
      <c r="F212" s="400">
        <f>F213</f>
        <v>3.59</v>
      </c>
      <c r="G212" s="401">
        <f>E212*F212</f>
        <v>0.5989438775510204</v>
      </c>
    </row>
    <row r="213" spans="1:7" ht="72">
      <c r="A213" s="99"/>
      <c r="B213" s="168" t="s">
        <v>829</v>
      </c>
      <c r="C213" s="49" t="s">
        <v>830</v>
      </c>
      <c r="D213" s="50" t="s">
        <v>52</v>
      </c>
      <c r="E213" s="402">
        <v>1</v>
      </c>
      <c r="F213" s="52">
        <f>G216</f>
        <v>3.59</v>
      </c>
      <c r="G213" s="403">
        <f>TRUNC(E213*F213,2)</f>
        <v>3.59</v>
      </c>
    </row>
    <row r="214" spans="1:7" ht="36">
      <c r="A214" s="99"/>
      <c r="B214" s="168" t="s">
        <v>290</v>
      </c>
      <c r="C214" s="49" t="s">
        <v>597</v>
      </c>
      <c r="D214" s="50" t="s">
        <v>52</v>
      </c>
      <c r="E214" s="402">
        <v>1.1</v>
      </c>
      <c r="F214" s="52">
        <f>TRUNC(3.125,2)</f>
        <v>3.12</v>
      </c>
      <c r="G214" s="403">
        <f>TRUNC(E214*F214,2)</f>
        <v>3.43</v>
      </c>
    </row>
    <row r="215" spans="1:7" ht="18.75">
      <c r="A215" s="99"/>
      <c r="B215" s="168" t="s">
        <v>183</v>
      </c>
      <c r="C215" s="49" t="s">
        <v>461</v>
      </c>
      <c r="D215" s="50" t="s">
        <v>52</v>
      </c>
      <c r="E215" s="402">
        <v>0.03</v>
      </c>
      <c r="F215" s="52">
        <f>TRUNC(5.47,2)</f>
        <v>5.47</v>
      </c>
      <c r="G215" s="403">
        <f>TRUNC(E215*F215,2)</f>
        <v>0.16</v>
      </c>
    </row>
    <row r="216" spans="1:7" ht="18.75">
      <c r="A216" s="99"/>
      <c r="B216" s="168"/>
      <c r="C216" s="49"/>
      <c r="D216" s="50"/>
      <c r="E216" s="402" t="s">
        <v>5</v>
      </c>
      <c r="F216" s="52"/>
      <c r="G216" s="403">
        <f>TRUNC(SUM(G214:G215),2)</f>
        <v>3.59</v>
      </c>
    </row>
    <row r="217" spans="1:7" ht="54">
      <c r="A217" s="90" t="s">
        <v>175</v>
      </c>
      <c r="B217" s="395" t="s">
        <v>827</v>
      </c>
      <c r="C217" s="119" t="s">
        <v>828</v>
      </c>
      <c r="D217" s="91" t="s">
        <v>52</v>
      </c>
      <c r="E217" s="399">
        <f>E212</f>
        <v>0.16683673469387755</v>
      </c>
      <c r="F217" s="400">
        <f>F218</f>
        <v>3.67</v>
      </c>
      <c r="G217" s="401">
        <f>E217*F217</f>
        <v>0.6122908163265306</v>
      </c>
    </row>
    <row r="218" spans="1:7" ht="54">
      <c r="A218" s="99"/>
      <c r="B218" s="168" t="s">
        <v>827</v>
      </c>
      <c r="C218" s="49" t="s">
        <v>828</v>
      </c>
      <c r="D218" s="50" t="s">
        <v>52</v>
      </c>
      <c r="E218" s="402">
        <v>1</v>
      </c>
      <c r="F218" s="52">
        <f>G221</f>
        <v>3.67</v>
      </c>
      <c r="G218" s="403">
        <f>TRUNC(E218*F218,2)</f>
        <v>3.67</v>
      </c>
    </row>
    <row r="219" spans="1:7" ht="36">
      <c r="A219" s="99"/>
      <c r="B219" s="168" t="s">
        <v>43</v>
      </c>
      <c r="C219" s="49" t="s">
        <v>44</v>
      </c>
      <c r="D219" s="50" t="s">
        <v>7</v>
      </c>
      <c r="E219" s="402">
        <v>0.1236</v>
      </c>
      <c r="F219" s="52">
        <f>TRUNC(12.54,2)</f>
        <v>12.54</v>
      </c>
      <c r="G219" s="403">
        <f>TRUNC(E219*F219,2)</f>
        <v>1.54</v>
      </c>
    </row>
    <row r="220" spans="1:7" ht="36">
      <c r="A220" s="99"/>
      <c r="B220" s="168" t="s">
        <v>291</v>
      </c>
      <c r="C220" s="49" t="s">
        <v>466</v>
      </c>
      <c r="D220" s="50" t="s">
        <v>7</v>
      </c>
      <c r="E220" s="402">
        <v>0.1236</v>
      </c>
      <c r="F220" s="52">
        <f>TRUNC(17.3,2)</f>
        <v>17.3</v>
      </c>
      <c r="G220" s="403">
        <f>TRUNC(E220*F220,2)</f>
        <v>2.13</v>
      </c>
    </row>
    <row r="221" spans="1:7" ht="18.75">
      <c r="A221" s="99"/>
      <c r="B221" s="168"/>
      <c r="C221" s="49"/>
      <c r="D221" s="50"/>
      <c r="E221" s="402" t="s">
        <v>5</v>
      </c>
      <c r="F221" s="52"/>
      <c r="G221" s="403">
        <f>TRUNC(SUM(G219:G220),2)</f>
        <v>3.67</v>
      </c>
    </row>
    <row r="222" spans="1:7" s="471" customFormat="1" ht="48.75" customHeight="1">
      <c r="A222" s="528" t="s">
        <v>1039</v>
      </c>
      <c r="B222" s="528"/>
      <c r="C222" s="528"/>
      <c r="D222" s="528"/>
      <c r="E222" s="528"/>
      <c r="F222" s="528"/>
      <c r="G222" s="528"/>
    </row>
    <row r="223" spans="1:7" ht="90">
      <c r="A223" s="90" t="s">
        <v>176</v>
      </c>
      <c r="B223" s="395" t="s">
        <v>477</v>
      </c>
      <c r="C223" s="119" t="s">
        <v>478</v>
      </c>
      <c r="D223" s="91" t="s">
        <v>52</v>
      </c>
      <c r="E223" s="399">
        <f>273.87/7.35/104</f>
        <v>0.3582810047095762</v>
      </c>
      <c r="F223" s="400">
        <f>TRUNC(G228,2)</f>
        <v>3.59</v>
      </c>
      <c r="G223" s="401">
        <f>E223*F223</f>
        <v>1.2862288069073784</v>
      </c>
    </row>
    <row r="224" spans="1:7" ht="18.75">
      <c r="A224" s="99"/>
      <c r="B224" s="168" t="s">
        <v>183</v>
      </c>
      <c r="C224" s="49" t="s">
        <v>461</v>
      </c>
      <c r="D224" s="50" t="s">
        <v>52</v>
      </c>
      <c r="E224" s="101">
        <v>0.03</v>
      </c>
      <c r="F224" s="52">
        <v>5.47</v>
      </c>
      <c r="G224" s="125">
        <f>E224*F224</f>
        <v>0.1641</v>
      </c>
    </row>
    <row r="225" spans="1:7" ht="36">
      <c r="A225" s="99"/>
      <c r="B225" s="168" t="s">
        <v>479</v>
      </c>
      <c r="C225" s="49" t="s">
        <v>480</v>
      </c>
      <c r="D225" s="50" t="s">
        <v>52</v>
      </c>
      <c r="E225" s="101">
        <v>0.37</v>
      </c>
      <c r="F225" s="52">
        <v>3.126</v>
      </c>
      <c r="G225" s="125">
        <f>E225*F225</f>
        <v>1.15662</v>
      </c>
    </row>
    <row r="226" spans="1:7" ht="36">
      <c r="A226" s="99"/>
      <c r="B226" s="168" t="s">
        <v>481</v>
      </c>
      <c r="C226" s="49" t="s">
        <v>482</v>
      </c>
      <c r="D226" s="50" t="s">
        <v>52</v>
      </c>
      <c r="E226" s="101">
        <v>0.37</v>
      </c>
      <c r="F226" s="52">
        <v>3.111</v>
      </c>
      <c r="G226" s="125">
        <f>E226*F226</f>
        <v>1.15107</v>
      </c>
    </row>
    <row r="227" spans="1:7" ht="36">
      <c r="A227" s="99"/>
      <c r="B227" s="168" t="s">
        <v>483</v>
      </c>
      <c r="C227" s="49" t="s">
        <v>484</v>
      </c>
      <c r="D227" s="50" t="s">
        <v>52</v>
      </c>
      <c r="E227" s="101">
        <v>0.37</v>
      </c>
      <c r="F227" s="52">
        <v>3.046</v>
      </c>
      <c r="G227" s="125">
        <f>E227*F227</f>
        <v>1.12702</v>
      </c>
    </row>
    <row r="228" spans="1:7" ht="18.75">
      <c r="A228" s="99"/>
      <c r="B228" s="168"/>
      <c r="C228" s="49"/>
      <c r="D228" s="50"/>
      <c r="E228" s="101" t="s">
        <v>5</v>
      </c>
      <c r="F228" s="52"/>
      <c r="G228" s="125">
        <f>SUM(G224:G227)</f>
        <v>3.59881</v>
      </c>
    </row>
    <row r="229" spans="1:7" ht="54">
      <c r="A229" s="90" t="s">
        <v>487</v>
      </c>
      <c r="B229" s="395" t="s">
        <v>485</v>
      </c>
      <c r="C229" s="119" t="s">
        <v>486</v>
      </c>
      <c r="D229" s="91" t="s">
        <v>52</v>
      </c>
      <c r="E229" s="399">
        <f>252.8/6.8/96</f>
        <v>0.3872549019607843</v>
      </c>
      <c r="F229" s="400">
        <f>TRUNC(G232,2)</f>
        <v>3.22</v>
      </c>
      <c r="G229" s="401">
        <f>E229*F229</f>
        <v>1.2469607843137256</v>
      </c>
    </row>
    <row r="230" spans="1:7" ht="36">
      <c r="A230" s="99"/>
      <c r="B230" s="168" t="s">
        <v>291</v>
      </c>
      <c r="C230" s="49" t="s">
        <v>466</v>
      </c>
      <c r="D230" s="50" t="s">
        <v>7</v>
      </c>
      <c r="E230" s="101">
        <v>0.10815</v>
      </c>
      <c r="F230" s="52">
        <v>17.3</v>
      </c>
      <c r="G230" s="125">
        <f>E230*F230</f>
        <v>1.870995</v>
      </c>
    </row>
    <row r="231" spans="1:7" ht="36">
      <c r="A231" s="99"/>
      <c r="B231" s="168" t="s">
        <v>43</v>
      </c>
      <c r="C231" s="49" t="s">
        <v>44</v>
      </c>
      <c r="D231" s="50" t="s">
        <v>7</v>
      </c>
      <c r="E231" s="101">
        <v>0.10815</v>
      </c>
      <c r="F231" s="52">
        <v>12.54</v>
      </c>
      <c r="G231" s="125">
        <f>E231*F231</f>
        <v>1.3562009999999998</v>
      </c>
    </row>
    <row r="232" spans="1:7" ht="18.75">
      <c r="A232" s="99"/>
      <c r="B232" s="168"/>
      <c r="C232" s="49"/>
      <c r="D232" s="50"/>
      <c r="E232" s="101" t="s">
        <v>5</v>
      </c>
      <c r="F232" s="52"/>
      <c r="G232" s="125">
        <f>SUM(G230:G231)</f>
        <v>3.2271959999999997</v>
      </c>
    </row>
    <row r="233" spans="1:7" ht="54">
      <c r="A233" s="71" t="s">
        <v>69</v>
      </c>
      <c r="B233" s="72" t="s">
        <v>49</v>
      </c>
      <c r="C233" s="73" t="s">
        <v>627</v>
      </c>
      <c r="D233" s="74" t="s">
        <v>310</v>
      </c>
      <c r="E233" s="75">
        <v>14.63</v>
      </c>
      <c r="F233" s="76">
        <f>TRUNC(F234,2)</f>
        <v>43.91</v>
      </c>
      <c r="G233" s="77">
        <f>TRUNC((E233*F233),2)</f>
        <v>642.4</v>
      </c>
    </row>
    <row r="234" spans="1:7" ht="54">
      <c r="A234" s="40"/>
      <c r="B234" s="41" t="s">
        <v>49</v>
      </c>
      <c r="C234" s="42" t="s">
        <v>366</v>
      </c>
      <c r="D234" s="43" t="s">
        <v>42</v>
      </c>
      <c r="E234" s="44">
        <v>1</v>
      </c>
      <c r="F234" s="45">
        <f>G236</f>
        <v>43.915079999999996</v>
      </c>
      <c r="G234" s="46">
        <f>E234*F234</f>
        <v>43.915079999999996</v>
      </c>
    </row>
    <row r="235" spans="1:7" ht="36">
      <c r="A235" s="47"/>
      <c r="B235" s="48" t="s">
        <v>43</v>
      </c>
      <c r="C235" s="49" t="s">
        <v>44</v>
      </c>
      <c r="D235" s="50" t="s">
        <v>7</v>
      </c>
      <c r="E235" s="51">
        <v>3.502</v>
      </c>
      <c r="F235" s="52">
        <v>12.54</v>
      </c>
      <c r="G235" s="53">
        <f>E235*F235</f>
        <v>43.915079999999996</v>
      </c>
    </row>
    <row r="236" spans="1:7" ht="18.75">
      <c r="A236" s="54"/>
      <c r="B236" s="55"/>
      <c r="C236" s="56"/>
      <c r="D236" s="57"/>
      <c r="E236" s="58" t="s">
        <v>5</v>
      </c>
      <c r="F236" s="59"/>
      <c r="G236" s="60">
        <f>SUM(G235:G235)</f>
        <v>43.915079999999996</v>
      </c>
    </row>
    <row r="237" spans="1:7" ht="36">
      <c r="A237" s="61" t="s">
        <v>61</v>
      </c>
      <c r="B237" s="62" t="s">
        <v>53</v>
      </c>
      <c r="C237" s="63" t="s">
        <v>341</v>
      </c>
      <c r="D237" s="64" t="s">
        <v>310</v>
      </c>
      <c r="E237" s="65">
        <v>9.75</v>
      </c>
      <c r="F237" s="66">
        <f>TRUNC(F238,2)</f>
        <v>17.17</v>
      </c>
      <c r="G237" s="68">
        <f>TRUNC((E237*F237),2)</f>
        <v>167.4</v>
      </c>
    </row>
    <row r="238" spans="1:7" ht="36">
      <c r="A238" s="40"/>
      <c r="B238" s="41" t="s">
        <v>53</v>
      </c>
      <c r="C238" s="42" t="s">
        <v>367</v>
      </c>
      <c r="D238" s="43" t="s">
        <v>42</v>
      </c>
      <c r="E238" s="44">
        <v>1</v>
      </c>
      <c r="F238" s="45">
        <f>G243</f>
        <v>17.178918300000003</v>
      </c>
      <c r="G238" s="46">
        <f>E238*F238</f>
        <v>17.178918300000003</v>
      </c>
    </row>
    <row r="239" spans="1:7" ht="36">
      <c r="A239" s="47"/>
      <c r="B239" s="48" t="s">
        <v>48</v>
      </c>
      <c r="C239" s="49" t="s">
        <v>543</v>
      </c>
      <c r="D239" s="50" t="s">
        <v>7</v>
      </c>
      <c r="E239" s="51">
        <v>0.13699</v>
      </c>
      <c r="F239" s="52">
        <v>19.45</v>
      </c>
      <c r="G239" s="53">
        <f>E239*F239</f>
        <v>2.6644555</v>
      </c>
    </row>
    <row r="240" spans="1:7" ht="36">
      <c r="A240" s="47"/>
      <c r="B240" s="48" t="s">
        <v>43</v>
      </c>
      <c r="C240" s="49" t="s">
        <v>44</v>
      </c>
      <c r="D240" s="50" t="s">
        <v>7</v>
      </c>
      <c r="E240" s="51">
        <v>1.09901</v>
      </c>
      <c r="F240" s="52">
        <v>12.54</v>
      </c>
      <c r="G240" s="53">
        <f>E240*F240</f>
        <v>13.781585399999999</v>
      </c>
    </row>
    <row r="241" spans="1:7" ht="18.75">
      <c r="A241" s="47"/>
      <c r="B241" s="48" t="s">
        <v>54</v>
      </c>
      <c r="C241" s="49" t="s">
        <v>544</v>
      </c>
      <c r="D241" s="50" t="s">
        <v>7</v>
      </c>
      <c r="E241" s="51">
        <v>0.1</v>
      </c>
      <c r="F241" s="52">
        <v>6.884</v>
      </c>
      <c r="G241" s="53">
        <f>E241*F241</f>
        <v>0.6884000000000001</v>
      </c>
    </row>
    <row r="242" spans="1:7" ht="18.75">
      <c r="A242" s="47"/>
      <c r="B242" s="48" t="s">
        <v>55</v>
      </c>
      <c r="C242" s="49" t="s">
        <v>545</v>
      </c>
      <c r="D242" s="50" t="s">
        <v>7</v>
      </c>
      <c r="E242" s="51">
        <v>0.033</v>
      </c>
      <c r="F242" s="52">
        <v>1.3478</v>
      </c>
      <c r="G242" s="53">
        <f>E242*F242</f>
        <v>0.04447740000000001</v>
      </c>
    </row>
    <row r="243" spans="1:7" ht="18.75">
      <c r="A243" s="54"/>
      <c r="B243" s="55"/>
      <c r="C243" s="56"/>
      <c r="D243" s="57"/>
      <c r="E243" s="58" t="s">
        <v>5</v>
      </c>
      <c r="F243" s="59"/>
      <c r="G243" s="60">
        <f>SUM(G239:G242)</f>
        <v>17.178918300000003</v>
      </c>
    </row>
    <row r="244" spans="1:7" ht="36">
      <c r="A244" s="92" t="s">
        <v>62</v>
      </c>
      <c r="B244" s="204" t="s">
        <v>618</v>
      </c>
      <c r="C244" s="35" t="s">
        <v>624</v>
      </c>
      <c r="D244" s="36" t="s">
        <v>47</v>
      </c>
      <c r="E244" s="94">
        <v>13.94</v>
      </c>
      <c r="F244" s="38">
        <f>TRUNC(F245,2)</f>
        <v>21.83</v>
      </c>
      <c r="G244" s="69">
        <f>TRUNC((E244*F244),2)</f>
        <v>304.31</v>
      </c>
    </row>
    <row r="245" spans="1:7" ht="36">
      <c r="A245" s="95"/>
      <c r="B245" s="167" t="s">
        <v>618</v>
      </c>
      <c r="C245" s="42" t="s">
        <v>799</v>
      </c>
      <c r="D245" s="43" t="s">
        <v>47</v>
      </c>
      <c r="E245" s="97">
        <v>1</v>
      </c>
      <c r="F245" s="45">
        <f>G249</f>
        <v>21.83</v>
      </c>
      <c r="G245" s="46">
        <f>TRUNC(E245*F245,2)</f>
        <v>21.83</v>
      </c>
    </row>
    <row r="246" spans="1:7" ht="18.75">
      <c r="A246" s="99"/>
      <c r="B246" s="168" t="s">
        <v>200</v>
      </c>
      <c r="C246" s="49" t="s">
        <v>201</v>
      </c>
      <c r="D246" s="50" t="s">
        <v>7</v>
      </c>
      <c r="E246" s="101">
        <v>0.0741</v>
      </c>
      <c r="F246" s="52">
        <f>TRUNC(19.33,2)</f>
        <v>19.33</v>
      </c>
      <c r="G246" s="53">
        <f>TRUNC(E246*F246,2)</f>
        <v>1.43</v>
      </c>
    </row>
    <row r="247" spans="1:7" ht="18.75">
      <c r="A247" s="99"/>
      <c r="B247" s="168" t="s">
        <v>198</v>
      </c>
      <c r="C247" s="49" t="s">
        <v>199</v>
      </c>
      <c r="D247" s="50" t="s">
        <v>7</v>
      </c>
      <c r="E247" s="101">
        <v>0.2718</v>
      </c>
      <c r="F247" s="52">
        <f>TRUNC(24.28,2)</f>
        <v>24.28</v>
      </c>
      <c r="G247" s="53">
        <f>TRUNC(E247*F247,2)</f>
        <v>6.59</v>
      </c>
    </row>
    <row r="248" spans="1:7" ht="54">
      <c r="A248" s="99"/>
      <c r="B248" s="168" t="s">
        <v>619</v>
      </c>
      <c r="C248" s="49" t="s">
        <v>620</v>
      </c>
      <c r="D248" s="50" t="s">
        <v>42</v>
      </c>
      <c r="E248" s="101">
        <v>0.0565</v>
      </c>
      <c r="F248" s="52">
        <f>TRUNC(244.56,2)</f>
        <v>244.56</v>
      </c>
      <c r="G248" s="53">
        <f>TRUNC(E248*F248,2)</f>
        <v>13.81</v>
      </c>
    </row>
    <row r="249" spans="1:7" ht="18.75">
      <c r="A249" s="99"/>
      <c r="B249" s="168"/>
      <c r="C249" s="49"/>
      <c r="D249" s="50"/>
      <c r="E249" s="101" t="s">
        <v>5</v>
      </c>
      <c r="F249" s="78"/>
      <c r="G249" s="53">
        <f>TRUNC(SUM(G246:G248),2)</f>
        <v>21.83</v>
      </c>
    </row>
    <row r="250" spans="1:7" ht="90">
      <c r="A250" s="109" t="s">
        <v>166</v>
      </c>
      <c r="B250" s="404" t="s">
        <v>836</v>
      </c>
      <c r="C250" s="63" t="s">
        <v>841</v>
      </c>
      <c r="D250" s="64" t="s">
        <v>42</v>
      </c>
      <c r="E250" s="111">
        <v>4.18</v>
      </c>
      <c r="F250" s="66">
        <f>TRUNC(F251,2)</f>
        <v>1978.28</v>
      </c>
      <c r="G250" s="68">
        <f>TRUNC((E250*F250),2)</f>
        <v>8269.21</v>
      </c>
    </row>
    <row r="251" spans="1:7" ht="126">
      <c r="A251" s="95"/>
      <c r="B251" s="405" t="s">
        <v>832</v>
      </c>
      <c r="C251" s="42" t="s">
        <v>833</v>
      </c>
      <c r="D251" s="43" t="s">
        <v>42</v>
      </c>
      <c r="E251" s="97">
        <v>1</v>
      </c>
      <c r="F251" s="45">
        <f>G267</f>
        <v>1978.28</v>
      </c>
      <c r="G251" s="46">
        <f aca="true" t="shared" si="12" ref="G251:G266">TRUNC(E251*F251,2)</f>
        <v>1978.28</v>
      </c>
    </row>
    <row r="252" spans="1:7" s="218" customFormat="1" ht="36">
      <c r="A252" s="164"/>
      <c r="B252" s="406" t="s">
        <v>422</v>
      </c>
      <c r="C252" s="152" t="s">
        <v>423</v>
      </c>
      <c r="D252" s="165" t="s">
        <v>52</v>
      </c>
      <c r="E252" s="177">
        <f>84.47/4.18</f>
        <v>20.20813397129187</v>
      </c>
      <c r="F252" s="78">
        <v>5.17</v>
      </c>
      <c r="G252" s="70">
        <f t="shared" si="12"/>
        <v>104.47</v>
      </c>
    </row>
    <row r="253" spans="1:7" ht="36">
      <c r="A253" s="99"/>
      <c r="B253" s="407" t="s">
        <v>834</v>
      </c>
      <c r="C253" s="49" t="s">
        <v>835</v>
      </c>
      <c r="D253" s="50" t="s">
        <v>52</v>
      </c>
      <c r="E253" s="101"/>
      <c r="F253" s="52">
        <f>TRUNC(5.1667,2)</f>
        <v>5.16</v>
      </c>
      <c r="G253" s="53">
        <f t="shared" si="12"/>
        <v>0</v>
      </c>
    </row>
    <row r="254" spans="1:7" s="218" customFormat="1" ht="72">
      <c r="A254" s="164"/>
      <c r="B254" s="406"/>
      <c r="C254" s="152" t="s">
        <v>839</v>
      </c>
      <c r="D254" s="165" t="s">
        <v>42</v>
      </c>
      <c r="E254" s="177">
        <v>1</v>
      </c>
      <c r="F254" s="78">
        <f>F268</f>
        <v>408.08</v>
      </c>
      <c r="G254" s="70">
        <f t="shared" si="12"/>
        <v>408.08</v>
      </c>
    </row>
    <row r="255" spans="1:7" s="218" customFormat="1" ht="36">
      <c r="A255" s="164"/>
      <c r="B255" s="406" t="s">
        <v>302</v>
      </c>
      <c r="C255" s="152" t="s">
        <v>465</v>
      </c>
      <c r="D255" s="165" t="s">
        <v>52</v>
      </c>
      <c r="E255" s="177"/>
      <c r="F255" s="78">
        <f>TRUNC(4.59,2)</f>
        <v>4.59</v>
      </c>
      <c r="G255" s="70">
        <f t="shared" si="12"/>
        <v>0</v>
      </c>
    </row>
    <row r="256" spans="1:7" s="218" customFormat="1" ht="36">
      <c r="A256" s="164"/>
      <c r="B256" s="406" t="s">
        <v>301</v>
      </c>
      <c r="C256" s="152" t="s">
        <v>464</v>
      </c>
      <c r="D256" s="165" t="s">
        <v>52</v>
      </c>
      <c r="E256" s="177"/>
      <c r="F256" s="78">
        <f>TRUNC(4.59,2)</f>
        <v>4.59</v>
      </c>
      <c r="G256" s="70">
        <f t="shared" si="12"/>
        <v>0</v>
      </c>
    </row>
    <row r="257" spans="1:7" s="218" customFormat="1" ht="36">
      <c r="A257" s="164"/>
      <c r="B257" s="406" t="s">
        <v>288</v>
      </c>
      <c r="C257" s="152" t="s">
        <v>463</v>
      </c>
      <c r="D257" s="165" t="s">
        <v>52</v>
      </c>
      <c r="E257" s="177">
        <f>403.81/4.18</f>
        <v>96.60526315789474</v>
      </c>
      <c r="F257" s="78">
        <f>TRUNC(4.8901,2)</f>
        <v>4.89</v>
      </c>
      <c r="G257" s="70">
        <f t="shared" si="12"/>
        <v>472.39</v>
      </c>
    </row>
    <row r="258" spans="1:7" ht="36">
      <c r="A258" s="99"/>
      <c r="B258" s="407" t="s">
        <v>300</v>
      </c>
      <c r="C258" s="49" t="s">
        <v>462</v>
      </c>
      <c r="D258" s="50" t="s">
        <v>52</v>
      </c>
      <c r="E258" s="101"/>
      <c r="F258" s="52">
        <f>TRUNC(4.82,2)</f>
        <v>4.82</v>
      </c>
      <c r="G258" s="53">
        <f t="shared" si="12"/>
        <v>0</v>
      </c>
    </row>
    <row r="259" spans="1:7" ht="18.75">
      <c r="A259" s="99"/>
      <c r="B259" s="407" t="s">
        <v>183</v>
      </c>
      <c r="C259" s="49" t="s">
        <v>461</v>
      </c>
      <c r="D259" s="50" t="s">
        <v>52</v>
      </c>
      <c r="E259" s="101">
        <v>1.8</v>
      </c>
      <c r="F259" s="52">
        <f>TRUNC(5.47,2)</f>
        <v>5.47</v>
      </c>
      <c r="G259" s="53">
        <f t="shared" si="12"/>
        <v>9.84</v>
      </c>
    </row>
    <row r="260" spans="1:7" ht="36">
      <c r="A260" s="99"/>
      <c r="B260" s="407" t="s">
        <v>43</v>
      </c>
      <c r="C260" s="49" t="s">
        <v>44</v>
      </c>
      <c r="D260" s="50" t="s">
        <v>7</v>
      </c>
      <c r="E260" s="101">
        <v>9.4245</v>
      </c>
      <c r="F260" s="52">
        <f>TRUNC(12.54,2)</f>
        <v>12.54</v>
      </c>
      <c r="G260" s="53">
        <f t="shared" si="12"/>
        <v>118.18</v>
      </c>
    </row>
    <row r="261" spans="1:7" ht="36">
      <c r="A261" s="99"/>
      <c r="B261" s="407" t="s">
        <v>46</v>
      </c>
      <c r="C261" s="49" t="s">
        <v>458</v>
      </c>
      <c r="D261" s="50" t="s">
        <v>7</v>
      </c>
      <c r="E261" s="101">
        <v>0.515</v>
      </c>
      <c r="F261" s="52">
        <f>TRUNC(17.3,2)</f>
        <v>17.3</v>
      </c>
      <c r="G261" s="53">
        <f t="shared" si="12"/>
        <v>8.9</v>
      </c>
    </row>
    <row r="262" spans="1:7" ht="36">
      <c r="A262" s="99"/>
      <c r="B262" s="407" t="s">
        <v>182</v>
      </c>
      <c r="C262" s="49" t="s">
        <v>467</v>
      </c>
      <c r="D262" s="50" t="s">
        <v>7</v>
      </c>
      <c r="E262" s="101">
        <v>0.515</v>
      </c>
      <c r="F262" s="52">
        <f>TRUNC(17.3,2)</f>
        <v>17.3</v>
      </c>
      <c r="G262" s="53">
        <f t="shared" si="12"/>
        <v>8.9</v>
      </c>
    </row>
    <row r="263" spans="1:7" ht="36">
      <c r="A263" s="99"/>
      <c r="B263" s="407" t="s">
        <v>291</v>
      </c>
      <c r="C263" s="49" t="s">
        <v>466</v>
      </c>
      <c r="D263" s="50" t="s">
        <v>7</v>
      </c>
      <c r="E263" s="101">
        <v>6.3345</v>
      </c>
      <c r="F263" s="52">
        <f>TRUNC(17.3,2)</f>
        <v>17.3</v>
      </c>
      <c r="G263" s="53">
        <f t="shared" si="12"/>
        <v>109.58</v>
      </c>
    </row>
    <row r="264" spans="1:7" ht="18.75">
      <c r="A264" s="99"/>
      <c r="B264" s="407" t="s">
        <v>305</v>
      </c>
      <c r="C264" s="49" t="s">
        <v>470</v>
      </c>
      <c r="D264" s="50" t="s">
        <v>7</v>
      </c>
      <c r="E264" s="101">
        <v>0.805</v>
      </c>
      <c r="F264" s="52">
        <f>TRUNC(0.2953,2)</f>
        <v>0.29</v>
      </c>
      <c r="G264" s="53">
        <f t="shared" si="12"/>
        <v>0.23</v>
      </c>
    </row>
    <row r="265" spans="1:7" ht="18.75">
      <c r="A265" s="99"/>
      <c r="B265" s="407" t="s">
        <v>304</v>
      </c>
      <c r="C265" s="49" t="s">
        <v>469</v>
      </c>
      <c r="D265" s="50" t="s">
        <v>7</v>
      </c>
      <c r="E265" s="101">
        <v>0.345</v>
      </c>
      <c r="F265" s="52">
        <f>TRUNC(1.1765,2)</f>
        <v>1.17</v>
      </c>
      <c r="G265" s="53">
        <f t="shared" si="12"/>
        <v>0.4</v>
      </c>
    </row>
    <row r="266" spans="1:7" ht="18.75">
      <c r="A266" s="99"/>
      <c r="B266" s="407" t="s">
        <v>303</v>
      </c>
      <c r="C266" s="49" t="s">
        <v>468</v>
      </c>
      <c r="D266" s="50" t="s">
        <v>47</v>
      </c>
      <c r="E266" s="101">
        <f>58.36/4.18</f>
        <v>13.961722488038278</v>
      </c>
      <c r="F266" s="52">
        <f>TRUNC(52.8144,2)</f>
        <v>52.81</v>
      </c>
      <c r="G266" s="53">
        <f t="shared" si="12"/>
        <v>737.31</v>
      </c>
    </row>
    <row r="267" spans="1:7" ht="18.75">
      <c r="A267" s="99"/>
      <c r="B267" s="407"/>
      <c r="C267" s="49"/>
      <c r="D267" s="50"/>
      <c r="E267" s="101" t="s">
        <v>5</v>
      </c>
      <c r="F267" s="52"/>
      <c r="G267" s="53">
        <f>TRUNC(SUM(G252:G266),2)</f>
        <v>1978.28</v>
      </c>
    </row>
    <row r="268" spans="1:7" ht="72">
      <c r="A268" s="99"/>
      <c r="B268" s="407" t="s">
        <v>822</v>
      </c>
      <c r="C268" s="49" t="s">
        <v>823</v>
      </c>
      <c r="D268" s="50" t="s">
        <v>42</v>
      </c>
      <c r="E268" s="101">
        <v>1</v>
      </c>
      <c r="F268" s="52">
        <f>G272</f>
        <v>408.08</v>
      </c>
      <c r="G268" s="53">
        <f>TRUNC(E268*F268,2)</f>
        <v>408.08</v>
      </c>
    </row>
    <row r="269" spans="1:7" ht="18.75">
      <c r="A269" s="99"/>
      <c r="B269" s="407" t="s">
        <v>475</v>
      </c>
      <c r="C269" s="49" t="s">
        <v>476</v>
      </c>
      <c r="D269" s="50" t="s">
        <v>42</v>
      </c>
      <c r="E269" s="101">
        <v>1</v>
      </c>
      <c r="F269" s="52">
        <f>TRUNC(90.0921,2)</f>
        <v>90.09</v>
      </c>
      <c r="G269" s="53">
        <f>TRUNC(E269*F269,2)</f>
        <v>90.09</v>
      </c>
    </row>
    <row r="270" spans="1:7" ht="18.75">
      <c r="A270" s="99"/>
      <c r="B270" s="407" t="s">
        <v>473</v>
      </c>
      <c r="C270" s="49" t="s">
        <v>474</v>
      </c>
      <c r="D270" s="50" t="s">
        <v>42</v>
      </c>
      <c r="E270" s="101">
        <v>1</v>
      </c>
      <c r="F270" s="52">
        <f>TRUNC(62.5904,2)</f>
        <v>62.59</v>
      </c>
      <c r="G270" s="53">
        <f>TRUNC(E270*F270,2)</f>
        <v>62.59</v>
      </c>
    </row>
    <row r="271" spans="1:7" ht="18.75">
      <c r="A271" s="99"/>
      <c r="B271" s="407" t="s">
        <v>824</v>
      </c>
      <c r="C271" s="49" t="s">
        <v>825</v>
      </c>
      <c r="D271" s="50" t="s">
        <v>42</v>
      </c>
      <c r="E271" s="101">
        <v>1</v>
      </c>
      <c r="F271" s="52">
        <f>TRUNC(255.403,2)</f>
        <v>255.4</v>
      </c>
      <c r="G271" s="53">
        <f>TRUNC(E271*F271,2)</f>
        <v>255.4</v>
      </c>
    </row>
    <row r="272" spans="1:7" ht="18.75">
      <c r="A272" s="102"/>
      <c r="B272" s="408"/>
      <c r="C272" s="56"/>
      <c r="D272" s="57"/>
      <c r="E272" s="104" t="s">
        <v>5</v>
      </c>
      <c r="F272" s="59"/>
      <c r="G272" s="60">
        <f>TRUNC(SUM(G269:G271),2)</f>
        <v>408.08</v>
      </c>
    </row>
    <row r="273" spans="1:7" ht="90">
      <c r="A273" s="109" t="s">
        <v>169</v>
      </c>
      <c r="B273" s="404" t="s">
        <v>1032</v>
      </c>
      <c r="C273" s="63" t="s">
        <v>840</v>
      </c>
      <c r="D273" s="64" t="s">
        <v>42</v>
      </c>
      <c r="E273" s="111">
        <v>3.37</v>
      </c>
      <c r="F273" s="66">
        <f>TRUNC(F274,2)</f>
        <v>2045.8</v>
      </c>
      <c r="G273" s="68">
        <f>TRUNC((E273*F273),2)</f>
        <v>6894.34</v>
      </c>
    </row>
    <row r="274" spans="1:7" ht="126">
      <c r="A274" s="95"/>
      <c r="B274" s="405" t="s">
        <v>832</v>
      </c>
      <c r="C274" s="42" t="s">
        <v>833</v>
      </c>
      <c r="D274" s="43" t="s">
        <v>42</v>
      </c>
      <c r="E274" s="97">
        <v>1</v>
      </c>
      <c r="F274" s="45">
        <f>G290</f>
        <v>2045.8</v>
      </c>
      <c r="G274" s="46">
        <f aca="true" t="shared" si="13" ref="G274:G289">TRUNC(E274*F274,2)</f>
        <v>2045.8</v>
      </c>
    </row>
    <row r="275" spans="1:7" s="218" customFormat="1" ht="36">
      <c r="A275" s="164"/>
      <c r="B275" s="406" t="s">
        <v>422</v>
      </c>
      <c r="C275" s="152" t="s">
        <v>423</v>
      </c>
      <c r="D275" s="165" t="s">
        <v>52</v>
      </c>
      <c r="E275" s="177">
        <f>71.21/3.37</f>
        <v>21.130563798219583</v>
      </c>
      <c r="F275" s="78">
        <v>5.17</v>
      </c>
      <c r="G275" s="70">
        <f t="shared" si="13"/>
        <v>109.24</v>
      </c>
    </row>
    <row r="276" spans="1:7" ht="36">
      <c r="A276" s="99"/>
      <c r="B276" s="407" t="s">
        <v>834</v>
      </c>
      <c r="C276" s="49" t="s">
        <v>835</v>
      </c>
      <c r="D276" s="50" t="s">
        <v>52</v>
      </c>
      <c r="E276" s="101"/>
      <c r="F276" s="52">
        <f>TRUNC(5.1667,2)</f>
        <v>5.16</v>
      </c>
      <c r="G276" s="53">
        <f t="shared" si="13"/>
        <v>0</v>
      </c>
    </row>
    <row r="277" spans="1:7" s="218" customFormat="1" ht="72">
      <c r="A277" s="164"/>
      <c r="B277" s="406"/>
      <c r="C277" s="152" t="s">
        <v>839</v>
      </c>
      <c r="D277" s="165" t="s">
        <v>42</v>
      </c>
      <c r="E277" s="177">
        <v>1</v>
      </c>
      <c r="F277" s="78">
        <f>F291</f>
        <v>408.08</v>
      </c>
      <c r="G277" s="70">
        <f t="shared" si="13"/>
        <v>408.08</v>
      </c>
    </row>
    <row r="278" spans="1:7" s="218" customFormat="1" ht="36">
      <c r="A278" s="164"/>
      <c r="B278" s="406" t="s">
        <v>302</v>
      </c>
      <c r="C278" s="152" t="s">
        <v>465</v>
      </c>
      <c r="D278" s="165" t="s">
        <v>52</v>
      </c>
      <c r="E278" s="177"/>
      <c r="F278" s="78">
        <f>TRUNC(4.59,2)</f>
        <v>4.59</v>
      </c>
      <c r="G278" s="70">
        <f t="shared" si="13"/>
        <v>0</v>
      </c>
    </row>
    <row r="279" spans="1:7" s="218" customFormat="1" ht="36">
      <c r="A279" s="164"/>
      <c r="B279" s="406" t="s">
        <v>301</v>
      </c>
      <c r="C279" s="152" t="s">
        <v>464</v>
      </c>
      <c r="D279" s="165" t="s">
        <v>52</v>
      </c>
      <c r="E279" s="177"/>
      <c r="F279" s="78">
        <f>TRUNC(4.59,2)</f>
        <v>4.59</v>
      </c>
      <c r="G279" s="70">
        <f t="shared" si="13"/>
        <v>0</v>
      </c>
    </row>
    <row r="280" spans="1:7" ht="36">
      <c r="A280" s="99"/>
      <c r="B280" s="407" t="s">
        <v>288</v>
      </c>
      <c r="C280" s="49" t="s">
        <v>463</v>
      </c>
      <c r="D280" s="50" t="s">
        <v>52</v>
      </c>
      <c r="E280" s="101"/>
      <c r="F280" s="52">
        <f>TRUNC(4.8901,2)</f>
        <v>4.89</v>
      </c>
      <c r="G280" s="53">
        <f t="shared" si="13"/>
        <v>0</v>
      </c>
    </row>
    <row r="281" spans="1:7" s="218" customFormat="1" ht="36">
      <c r="A281" s="164"/>
      <c r="B281" s="406" t="s">
        <v>300</v>
      </c>
      <c r="C281" s="152" t="s">
        <v>462</v>
      </c>
      <c r="D281" s="165" t="s">
        <v>52</v>
      </c>
      <c r="E281" s="177">
        <f>250.25/3.37</f>
        <v>74.25816023738872</v>
      </c>
      <c r="F281" s="78">
        <f>TRUNC(4.82,2)</f>
        <v>4.82</v>
      </c>
      <c r="G281" s="70">
        <f t="shared" si="13"/>
        <v>357.92</v>
      </c>
    </row>
    <row r="282" spans="1:7" ht="18.75">
      <c r="A282" s="99"/>
      <c r="B282" s="407" t="s">
        <v>183</v>
      </c>
      <c r="C282" s="49" t="s">
        <v>461</v>
      </c>
      <c r="D282" s="50" t="s">
        <v>52</v>
      </c>
      <c r="E282" s="101">
        <v>1.8</v>
      </c>
      <c r="F282" s="52">
        <f>TRUNC(5.47,2)</f>
        <v>5.47</v>
      </c>
      <c r="G282" s="53">
        <f t="shared" si="13"/>
        <v>9.84</v>
      </c>
    </row>
    <row r="283" spans="1:7" ht="36">
      <c r="A283" s="99"/>
      <c r="B283" s="407" t="s">
        <v>43</v>
      </c>
      <c r="C283" s="49" t="s">
        <v>44</v>
      </c>
      <c r="D283" s="50" t="s">
        <v>7</v>
      </c>
      <c r="E283" s="101">
        <v>9.4245</v>
      </c>
      <c r="F283" s="52">
        <f>TRUNC(12.54,2)</f>
        <v>12.54</v>
      </c>
      <c r="G283" s="53">
        <f t="shared" si="13"/>
        <v>118.18</v>
      </c>
    </row>
    <row r="284" spans="1:7" ht="36">
      <c r="A284" s="99"/>
      <c r="B284" s="407" t="s">
        <v>46</v>
      </c>
      <c r="C284" s="49" t="s">
        <v>458</v>
      </c>
      <c r="D284" s="50" t="s">
        <v>7</v>
      </c>
      <c r="E284" s="101">
        <v>0.515</v>
      </c>
      <c r="F284" s="52">
        <f>TRUNC(17.3,2)</f>
        <v>17.3</v>
      </c>
      <c r="G284" s="53">
        <f t="shared" si="13"/>
        <v>8.9</v>
      </c>
    </row>
    <row r="285" spans="1:7" ht="36">
      <c r="A285" s="99"/>
      <c r="B285" s="407" t="s">
        <v>182</v>
      </c>
      <c r="C285" s="49" t="s">
        <v>467</v>
      </c>
      <c r="D285" s="50" t="s">
        <v>7</v>
      </c>
      <c r="E285" s="101">
        <v>0.515</v>
      </c>
      <c r="F285" s="52">
        <f>TRUNC(17.3,2)</f>
        <v>17.3</v>
      </c>
      <c r="G285" s="53">
        <f t="shared" si="13"/>
        <v>8.9</v>
      </c>
    </row>
    <row r="286" spans="1:7" ht="36">
      <c r="A286" s="99"/>
      <c r="B286" s="407" t="s">
        <v>291</v>
      </c>
      <c r="C286" s="49" t="s">
        <v>466</v>
      </c>
      <c r="D286" s="50" t="s">
        <v>7</v>
      </c>
      <c r="E286" s="101">
        <v>6.3345</v>
      </c>
      <c r="F286" s="52">
        <f>TRUNC(17.3,2)</f>
        <v>17.3</v>
      </c>
      <c r="G286" s="53">
        <f t="shared" si="13"/>
        <v>109.58</v>
      </c>
    </row>
    <row r="287" spans="1:7" ht="18.75">
      <c r="A287" s="99"/>
      <c r="B287" s="407" t="s">
        <v>305</v>
      </c>
      <c r="C287" s="49" t="s">
        <v>470</v>
      </c>
      <c r="D287" s="50" t="s">
        <v>7</v>
      </c>
      <c r="E287" s="101">
        <v>0.805</v>
      </c>
      <c r="F287" s="52">
        <f>TRUNC(0.2953,2)</f>
        <v>0.29</v>
      </c>
      <c r="G287" s="53">
        <f t="shared" si="13"/>
        <v>0.23</v>
      </c>
    </row>
    <row r="288" spans="1:7" ht="18.75">
      <c r="A288" s="99"/>
      <c r="B288" s="407" t="s">
        <v>304</v>
      </c>
      <c r="C288" s="49" t="s">
        <v>469</v>
      </c>
      <c r="D288" s="50" t="s">
        <v>7</v>
      </c>
      <c r="E288" s="101">
        <v>0.345</v>
      </c>
      <c r="F288" s="52">
        <f>TRUNC(1.1765,2)</f>
        <v>1.17</v>
      </c>
      <c r="G288" s="53">
        <f t="shared" si="13"/>
        <v>0.4</v>
      </c>
    </row>
    <row r="289" spans="1:7" s="218" customFormat="1" ht="18.75">
      <c r="A289" s="164"/>
      <c r="B289" s="406" t="s">
        <v>303</v>
      </c>
      <c r="C289" s="152" t="s">
        <v>468</v>
      </c>
      <c r="D289" s="165" t="s">
        <v>47</v>
      </c>
      <c r="E289" s="177">
        <f>58.36/3.37</f>
        <v>17.317507418397625</v>
      </c>
      <c r="F289" s="78">
        <f>TRUNC(52.8144,2)</f>
        <v>52.81</v>
      </c>
      <c r="G289" s="70">
        <f t="shared" si="13"/>
        <v>914.53</v>
      </c>
    </row>
    <row r="290" spans="1:7" ht="18.75">
      <c r="A290" s="99"/>
      <c r="B290" s="407"/>
      <c r="C290" s="49"/>
      <c r="D290" s="50"/>
      <c r="E290" s="101" t="s">
        <v>5</v>
      </c>
      <c r="F290" s="52"/>
      <c r="G290" s="53">
        <f>TRUNC(SUM(G275:G289),2)</f>
        <v>2045.8</v>
      </c>
    </row>
    <row r="291" spans="1:7" ht="72">
      <c r="A291" s="99"/>
      <c r="B291" s="407" t="s">
        <v>822</v>
      </c>
      <c r="C291" s="49" t="s">
        <v>823</v>
      </c>
      <c r="D291" s="50" t="s">
        <v>42</v>
      </c>
      <c r="E291" s="101">
        <v>1</v>
      </c>
      <c r="F291" s="52">
        <f>G295</f>
        <v>408.08</v>
      </c>
      <c r="G291" s="53">
        <f>TRUNC(E291*F291,2)</f>
        <v>408.08</v>
      </c>
    </row>
    <row r="292" spans="1:7" ht="18.75">
      <c r="A292" s="99"/>
      <c r="B292" s="407" t="s">
        <v>475</v>
      </c>
      <c r="C292" s="49" t="s">
        <v>476</v>
      </c>
      <c r="D292" s="50" t="s">
        <v>42</v>
      </c>
      <c r="E292" s="101">
        <v>1</v>
      </c>
      <c r="F292" s="52">
        <f>TRUNC(90.0921,2)</f>
        <v>90.09</v>
      </c>
      <c r="G292" s="53">
        <f>TRUNC(E292*F292,2)</f>
        <v>90.09</v>
      </c>
    </row>
    <row r="293" spans="1:7" ht="18.75">
      <c r="A293" s="99"/>
      <c r="B293" s="407" t="s">
        <v>473</v>
      </c>
      <c r="C293" s="49" t="s">
        <v>474</v>
      </c>
      <c r="D293" s="50" t="s">
        <v>42</v>
      </c>
      <c r="E293" s="101">
        <v>1</v>
      </c>
      <c r="F293" s="52">
        <f>TRUNC(62.5904,2)</f>
        <v>62.59</v>
      </c>
      <c r="G293" s="53">
        <f>TRUNC(E293*F293,2)</f>
        <v>62.59</v>
      </c>
    </row>
    <row r="294" spans="1:7" ht="18.75">
      <c r="A294" s="99"/>
      <c r="B294" s="407" t="s">
        <v>824</v>
      </c>
      <c r="C294" s="49" t="s">
        <v>825</v>
      </c>
      <c r="D294" s="50" t="s">
        <v>42</v>
      </c>
      <c r="E294" s="101">
        <v>1</v>
      </c>
      <c r="F294" s="52">
        <f>TRUNC(255.403,2)</f>
        <v>255.4</v>
      </c>
      <c r="G294" s="53">
        <f>TRUNC(E294*F294,2)</f>
        <v>255.4</v>
      </c>
    </row>
    <row r="295" spans="1:7" ht="18.75">
      <c r="A295" s="102"/>
      <c r="B295" s="408"/>
      <c r="C295" s="56"/>
      <c r="D295" s="57"/>
      <c r="E295" s="104" t="s">
        <v>5</v>
      </c>
      <c r="F295" s="59"/>
      <c r="G295" s="60">
        <f>TRUNC(SUM(G292:G294),2)</f>
        <v>408.08</v>
      </c>
    </row>
    <row r="296" spans="1:7" ht="90">
      <c r="A296" s="109" t="s">
        <v>170</v>
      </c>
      <c r="B296" s="404" t="s">
        <v>1033</v>
      </c>
      <c r="C296" s="63" t="s">
        <v>842</v>
      </c>
      <c r="D296" s="64" t="s">
        <v>42</v>
      </c>
      <c r="E296" s="111">
        <v>1.51</v>
      </c>
      <c r="F296" s="66">
        <f>TRUNC(F297,2)</f>
        <v>2544.39</v>
      </c>
      <c r="G296" s="68">
        <f>TRUNC((E296*F296),2)</f>
        <v>3842.02</v>
      </c>
    </row>
    <row r="297" spans="1:7" ht="126">
      <c r="A297" s="95"/>
      <c r="B297" s="405" t="s">
        <v>832</v>
      </c>
      <c r="C297" s="42" t="s">
        <v>833</v>
      </c>
      <c r="D297" s="43" t="s">
        <v>42</v>
      </c>
      <c r="E297" s="97">
        <v>1</v>
      </c>
      <c r="F297" s="45">
        <f>G313</f>
        <v>2544.39</v>
      </c>
      <c r="G297" s="46">
        <f aca="true" t="shared" si="14" ref="G297:G312">TRUNC(E297*F297,2)</f>
        <v>2544.39</v>
      </c>
    </row>
    <row r="298" spans="1:7" s="218" customFormat="1" ht="36">
      <c r="A298" s="164"/>
      <c r="B298" s="406" t="s">
        <v>422</v>
      </c>
      <c r="C298" s="152" t="s">
        <v>423</v>
      </c>
      <c r="D298" s="165" t="s">
        <v>52</v>
      </c>
      <c r="E298" s="177">
        <f>41.27/1.51</f>
        <v>27.33112582781457</v>
      </c>
      <c r="F298" s="78">
        <v>5.17</v>
      </c>
      <c r="G298" s="70">
        <f t="shared" si="14"/>
        <v>141.3</v>
      </c>
    </row>
    <row r="299" spans="1:7" ht="36">
      <c r="A299" s="99"/>
      <c r="B299" s="407" t="s">
        <v>834</v>
      </c>
      <c r="C299" s="49" t="s">
        <v>835</v>
      </c>
      <c r="D299" s="50" t="s">
        <v>52</v>
      </c>
      <c r="E299" s="101"/>
      <c r="F299" s="52">
        <f>TRUNC(5.1667,2)</f>
        <v>5.16</v>
      </c>
      <c r="G299" s="53">
        <f t="shared" si="14"/>
        <v>0</v>
      </c>
    </row>
    <row r="300" spans="1:7" s="218" customFormat="1" ht="72">
      <c r="A300" s="164"/>
      <c r="B300" s="406"/>
      <c r="C300" s="152" t="s">
        <v>839</v>
      </c>
      <c r="D300" s="165" t="s">
        <v>42</v>
      </c>
      <c r="E300" s="177">
        <v>1</v>
      </c>
      <c r="F300" s="78">
        <f>F314</f>
        <v>408.08</v>
      </c>
      <c r="G300" s="70">
        <f t="shared" si="14"/>
        <v>408.08</v>
      </c>
    </row>
    <row r="301" spans="1:7" s="218" customFormat="1" ht="36">
      <c r="A301" s="164"/>
      <c r="B301" s="406" t="s">
        <v>302</v>
      </c>
      <c r="C301" s="152" t="s">
        <v>465</v>
      </c>
      <c r="D301" s="165" t="s">
        <v>52</v>
      </c>
      <c r="E301" s="177"/>
      <c r="F301" s="78">
        <f>TRUNC(4.59,2)</f>
        <v>4.59</v>
      </c>
      <c r="G301" s="70">
        <f t="shared" si="14"/>
        <v>0</v>
      </c>
    </row>
    <row r="302" spans="1:7" s="218" customFormat="1" ht="36">
      <c r="A302" s="164"/>
      <c r="B302" s="406" t="s">
        <v>301</v>
      </c>
      <c r="C302" s="152" t="s">
        <v>464</v>
      </c>
      <c r="D302" s="165" t="s">
        <v>52</v>
      </c>
      <c r="E302" s="177"/>
      <c r="F302" s="78">
        <f>TRUNC(4.59,2)</f>
        <v>4.59</v>
      </c>
      <c r="G302" s="70">
        <f t="shared" si="14"/>
        <v>0</v>
      </c>
    </row>
    <row r="303" spans="1:7" s="218" customFormat="1" ht="36">
      <c r="A303" s="164"/>
      <c r="B303" s="406" t="s">
        <v>288</v>
      </c>
      <c r="C303" s="152" t="s">
        <v>463</v>
      </c>
      <c r="D303" s="165" t="s">
        <v>52</v>
      </c>
      <c r="E303" s="177"/>
      <c r="F303" s="78">
        <f>TRUNC(4.8901,2)</f>
        <v>4.89</v>
      </c>
      <c r="G303" s="70">
        <f t="shared" si="14"/>
        <v>0</v>
      </c>
    </row>
    <row r="304" spans="1:7" s="218" customFormat="1" ht="36">
      <c r="A304" s="164"/>
      <c r="B304" s="406" t="s">
        <v>300</v>
      </c>
      <c r="C304" s="152" t="s">
        <v>462</v>
      </c>
      <c r="D304" s="165" t="s">
        <v>52</v>
      </c>
      <c r="E304" s="177">
        <f>192.43/1.51</f>
        <v>127.43708609271523</v>
      </c>
      <c r="F304" s="78">
        <f>TRUNC(4.82,2)</f>
        <v>4.82</v>
      </c>
      <c r="G304" s="70">
        <f t="shared" si="14"/>
        <v>614.24</v>
      </c>
    </row>
    <row r="305" spans="1:7" ht="18.75">
      <c r="A305" s="99"/>
      <c r="B305" s="407" t="s">
        <v>183</v>
      </c>
      <c r="C305" s="49" t="s">
        <v>461</v>
      </c>
      <c r="D305" s="50" t="s">
        <v>52</v>
      </c>
      <c r="E305" s="101">
        <v>1.8</v>
      </c>
      <c r="F305" s="52">
        <f>TRUNC(5.47,2)</f>
        <v>5.47</v>
      </c>
      <c r="G305" s="53">
        <f t="shared" si="14"/>
        <v>9.84</v>
      </c>
    </row>
    <row r="306" spans="1:7" ht="36">
      <c r="A306" s="99"/>
      <c r="B306" s="407" t="s">
        <v>43</v>
      </c>
      <c r="C306" s="49" t="s">
        <v>44</v>
      </c>
      <c r="D306" s="50" t="s">
        <v>7</v>
      </c>
      <c r="E306" s="101">
        <v>9.4245</v>
      </c>
      <c r="F306" s="52">
        <f>TRUNC(12.54,2)</f>
        <v>12.54</v>
      </c>
      <c r="G306" s="53">
        <f t="shared" si="14"/>
        <v>118.18</v>
      </c>
    </row>
    <row r="307" spans="1:7" ht="36">
      <c r="A307" s="99"/>
      <c r="B307" s="407" t="s">
        <v>46</v>
      </c>
      <c r="C307" s="49" t="s">
        <v>458</v>
      </c>
      <c r="D307" s="50" t="s">
        <v>7</v>
      </c>
      <c r="E307" s="101">
        <v>0.515</v>
      </c>
      <c r="F307" s="52">
        <f>TRUNC(17.3,2)</f>
        <v>17.3</v>
      </c>
      <c r="G307" s="53">
        <f t="shared" si="14"/>
        <v>8.9</v>
      </c>
    </row>
    <row r="308" spans="1:7" ht="36">
      <c r="A308" s="99"/>
      <c r="B308" s="407" t="s">
        <v>182</v>
      </c>
      <c r="C308" s="49" t="s">
        <v>467</v>
      </c>
      <c r="D308" s="50" t="s">
        <v>7</v>
      </c>
      <c r="E308" s="101">
        <v>0.515</v>
      </c>
      <c r="F308" s="52">
        <f>TRUNC(17.3,2)</f>
        <v>17.3</v>
      </c>
      <c r="G308" s="53">
        <f t="shared" si="14"/>
        <v>8.9</v>
      </c>
    </row>
    <row r="309" spans="1:7" ht="36">
      <c r="A309" s="99"/>
      <c r="B309" s="407" t="s">
        <v>291</v>
      </c>
      <c r="C309" s="49" t="s">
        <v>466</v>
      </c>
      <c r="D309" s="50" t="s">
        <v>7</v>
      </c>
      <c r="E309" s="101">
        <v>6.3345</v>
      </c>
      <c r="F309" s="52">
        <f>TRUNC(17.3,2)</f>
        <v>17.3</v>
      </c>
      <c r="G309" s="53">
        <f t="shared" si="14"/>
        <v>109.58</v>
      </c>
    </row>
    <row r="310" spans="1:7" ht="18.75">
      <c r="A310" s="99"/>
      <c r="B310" s="407" t="s">
        <v>305</v>
      </c>
      <c r="C310" s="49" t="s">
        <v>470</v>
      </c>
      <c r="D310" s="50" t="s">
        <v>7</v>
      </c>
      <c r="E310" s="101">
        <v>0.805</v>
      </c>
      <c r="F310" s="52">
        <f>TRUNC(0.2953,2)</f>
        <v>0.29</v>
      </c>
      <c r="G310" s="53">
        <f t="shared" si="14"/>
        <v>0.23</v>
      </c>
    </row>
    <row r="311" spans="1:7" ht="18.75">
      <c r="A311" s="99"/>
      <c r="B311" s="407" t="s">
        <v>304</v>
      </c>
      <c r="C311" s="49" t="s">
        <v>469</v>
      </c>
      <c r="D311" s="50" t="s">
        <v>7</v>
      </c>
      <c r="E311" s="101">
        <v>0.345</v>
      </c>
      <c r="F311" s="52">
        <f>TRUNC(1.1765,2)</f>
        <v>1.17</v>
      </c>
      <c r="G311" s="53">
        <f t="shared" si="14"/>
        <v>0.4</v>
      </c>
    </row>
    <row r="312" spans="1:7" s="218" customFormat="1" ht="18.75">
      <c r="A312" s="164"/>
      <c r="B312" s="406" t="s">
        <v>303</v>
      </c>
      <c r="C312" s="152" t="s">
        <v>468</v>
      </c>
      <c r="D312" s="165" t="s">
        <v>47</v>
      </c>
      <c r="E312" s="177">
        <f>32.16/1.51</f>
        <v>21.29801324503311</v>
      </c>
      <c r="F312" s="78">
        <f>TRUNC(52.8144,2)</f>
        <v>52.81</v>
      </c>
      <c r="G312" s="70">
        <f t="shared" si="14"/>
        <v>1124.74</v>
      </c>
    </row>
    <row r="313" spans="1:7" ht="18.75">
      <c r="A313" s="99"/>
      <c r="B313" s="407"/>
      <c r="C313" s="49"/>
      <c r="D313" s="50"/>
      <c r="E313" s="101" t="s">
        <v>5</v>
      </c>
      <c r="F313" s="52"/>
      <c r="G313" s="53">
        <f>TRUNC(SUM(G298:G312),2)</f>
        <v>2544.39</v>
      </c>
    </row>
    <row r="314" spans="1:7" ht="72">
      <c r="A314" s="99"/>
      <c r="B314" s="407" t="s">
        <v>822</v>
      </c>
      <c r="C314" s="49" t="s">
        <v>823</v>
      </c>
      <c r="D314" s="50" t="s">
        <v>42</v>
      </c>
      <c r="E314" s="101">
        <v>1</v>
      </c>
      <c r="F314" s="52">
        <f>G318</f>
        <v>408.08</v>
      </c>
      <c r="G314" s="53">
        <f>TRUNC(E314*F314,2)</f>
        <v>408.08</v>
      </c>
    </row>
    <row r="315" spans="1:7" ht="18.75">
      <c r="A315" s="99"/>
      <c r="B315" s="407" t="s">
        <v>475</v>
      </c>
      <c r="C315" s="49" t="s">
        <v>476</v>
      </c>
      <c r="D315" s="50" t="s">
        <v>42</v>
      </c>
      <c r="E315" s="101">
        <v>1</v>
      </c>
      <c r="F315" s="52">
        <f>TRUNC(90.0921,2)</f>
        <v>90.09</v>
      </c>
      <c r="G315" s="53">
        <f>TRUNC(E315*F315,2)</f>
        <v>90.09</v>
      </c>
    </row>
    <row r="316" spans="1:7" ht="18.75">
      <c r="A316" s="99"/>
      <c r="B316" s="407" t="s">
        <v>473</v>
      </c>
      <c r="C316" s="49" t="s">
        <v>474</v>
      </c>
      <c r="D316" s="50" t="s">
        <v>42</v>
      </c>
      <c r="E316" s="101">
        <v>1</v>
      </c>
      <c r="F316" s="52">
        <f>TRUNC(62.5904,2)</f>
        <v>62.59</v>
      </c>
      <c r="G316" s="53">
        <f>TRUNC(E316*F316,2)</f>
        <v>62.59</v>
      </c>
    </row>
    <row r="317" spans="1:7" ht="18.75">
      <c r="A317" s="99"/>
      <c r="B317" s="407" t="s">
        <v>824</v>
      </c>
      <c r="C317" s="49" t="s">
        <v>825</v>
      </c>
      <c r="D317" s="50" t="s">
        <v>42</v>
      </c>
      <c r="E317" s="101">
        <v>1</v>
      </c>
      <c r="F317" s="52">
        <f>TRUNC(255.403,2)</f>
        <v>255.4</v>
      </c>
      <c r="G317" s="53">
        <f>TRUNC(E317*F317,2)</f>
        <v>255.4</v>
      </c>
    </row>
    <row r="318" spans="1:7" ht="18.75">
      <c r="A318" s="102"/>
      <c r="B318" s="408"/>
      <c r="C318" s="56"/>
      <c r="D318" s="57"/>
      <c r="E318" s="104" t="s">
        <v>5</v>
      </c>
      <c r="F318" s="59"/>
      <c r="G318" s="60">
        <f>TRUNC(SUM(G315:G317),2)</f>
        <v>408.08</v>
      </c>
    </row>
    <row r="319" spans="1:7" ht="54">
      <c r="A319" s="173" t="s">
        <v>299</v>
      </c>
      <c r="B319" s="203" t="s">
        <v>219</v>
      </c>
      <c r="C319" s="169" t="s">
        <v>338</v>
      </c>
      <c r="D319" s="170" t="s">
        <v>203</v>
      </c>
      <c r="E319" s="174">
        <v>349.77</v>
      </c>
      <c r="F319" s="171">
        <f>TRUNC(F320,2)</f>
        <v>141.51</v>
      </c>
      <c r="G319" s="172">
        <f>TRUNC((E319*F319),2)</f>
        <v>49495.95</v>
      </c>
    </row>
    <row r="320" spans="1:8" s="218" customFormat="1" ht="72">
      <c r="A320" s="95"/>
      <c r="B320" s="167" t="s">
        <v>213</v>
      </c>
      <c r="C320" s="42" t="s">
        <v>546</v>
      </c>
      <c r="D320" s="43" t="s">
        <v>47</v>
      </c>
      <c r="E320" s="97">
        <v>1</v>
      </c>
      <c r="F320" s="45">
        <f>G327</f>
        <v>141.5154</v>
      </c>
      <c r="G320" s="46">
        <f aca="true" t="shared" si="15" ref="G320:G326">E320*F320</f>
        <v>141.5154</v>
      </c>
      <c r="H320" s="21"/>
    </row>
    <row r="321" spans="1:7" ht="36">
      <c r="A321" s="99"/>
      <c r="B321" s="168" t="s">
        <v>217</v>
      </c>
      <c r="C321" s="49" t="s">
        <v>547</v>
      </c>
      <c r="D321" s="50" t="s">
        <v>64</v>
      </c>
      <c r="E321" s="101">
        <v>1.68</v>
      </c>
      <c r="F321" s="52">
        <v>48.77</v>
      </c>
      <c r="G321" s="53">
        <f t="shared" si="15"/>
        <v>81.9336</v>
      </c>
    </row>
    <row r="322" spans="1:8" ht="36">
      <c r="A322" s="164"/>
      <c r="B322" s="176" t="s">
        <v>218</v>
      </c>
      <c r="C322" s="152" t="s">
        <v>551</v>
      </c>
      <c r="D322" s="165" t="s">
        <v>47</v>
      </c>
      <c r="E322" s="177">
        <v>1.05</v>
      </c>
      <c r="F322" s="78">
        <v>24.35</v>
      </c>
      <c r="G322" s="70">
        <f t="shared" si="15"/>
        <v>25.567500000000003</v>
      </c>
      <c r="H322" s="218"/>
    </row>
    <row r="323" spans="1:7" ht="18.75">
      <c r="A323" s="99"/>
      <c r="B323" s="168" t="s">
        <v>216</v>
      </c>
      <c r="C323" s="49" t="s">
        <v>548</v>
      </c>
      <c r="D323" s="50" t="s">
        <v>52</v>
      </c>
      <c r="E323" s="101">
        <v>0.15</v>
      </c>
      <c r="F323" s="52">
        <v>11.32</v>
      </c>
      <c r="G323" s="53">
        <f t="shared" si="15"/>
        <v>1.698</v>
      </c>
    </row>
    <row r="324" spans="1:7" ht="18.75">
      <c r="A324" s="99"/>
      <c r="B324" s="168" t="s">
        <v>215</v>
      </c>
      <c r="C324" s="49" t="s">
        <v>549</v>
      </c>
      <c r="D324" s="50" t="s">
        <v>52</v>
      </c>
      <c r="E324" s="101">
        <v>0.07</v>
      </c>
      <c r="F324" s="52">
        <v>13.09</v>
      </c>
      <c r="G324" s="53">
        <f t="shared" si="15"/>
        <v>0.9163000000000001</v>
      </c>
    </row>
    <row r="325" spans="1:7" ht="18.75">
      <c r="A325" s="99"/>
      <c r="B325" s="168" t="s">
        <v>200</v>
      </c>
      <c r="C325" s="49" t="s">
        <v>201</v>
      </c>
      <c r="D325" s="50" t="s">
        <v>7</v>
      </c>
      <c r="E325" s="101">
        <v>1</v>
      </c>
      <c r="F325" s="52">
        <v>19.33</v>
      </c>
      <c r="G325" s="53">
        <f t="shared" si="15"/>
        <v>19.33</v>
      </c>
    </row>
    <row r="326" spans="1:7" ht="18.75">
      <c r="A326" s="99"/>
      <c r="B326" s="168" t="s">
        <v>214</v>
      </c>
      <c r="C326" s="49" t="s">
        <v>550</v>
      </c>
      <c r="D326" s="50" t="s">
        <v>7</v>
      </c>
      <c r="E326" s="101">
        <v>0.5</v>
      </c>
      <c r="F326" s="52">
        <v>24.14</v>
      </c>
      <c r="G326" s="53">
        <f t="shared" si="15"/>
        <v>12.07</v>
      </c>
    </row>
    <row r="327" spans="1:7" ht="18.75">
      <c r="A327" s="99"/>
      <c r="B327" s="168"/>
      <c r="C327" s="49"/>
      <c r="D327" s="50"/>
      <c r="E327" s="101" t="s">
        <v>5</v>
      </c>
      <c r="F327" s="52"/>
      <c r="G327" s="53">
        <f>SUM(G321:G326)</f>
        <v>141.5154</v>
      </c>
    </row>
    <row r="328" spans="1:7" ht="144">
      <c r="A328" s="105" t="s">
        <v>311</v>
      </c>
      <c r="B328" s="394" t="s">
        <v>968</v>
      </c>
      <c r="C328" s="73" t="s">
        <v>969</v>
      </c>
      <c r="D328" s="74" t="s">
        <v>47</v>
      </c>
      <c r="E328" s="107">
        <v>7.2</v>
      </c>
      <c r="F328" s="76">
        <f>TRUNC(F329,2)+70.14</f>
        <v>345.2</v>
      </c>
      <c r="G328" s="77">
        <f>TRUNC((E328*F328),2)</f>
        <v>2485.44</v>
      </c>
    </row>
    <row r="329" spans="1:8" s="218" customFormat="1" ht="72">
      <c r="A329" s="95" t="s">
        <v>967</v>
      </c>
      <c r="B329" s="167" t="s">
        <v>213</v>
      </c>
      <c r="C329" s="42" t="s">
        <v>546</v>
      </c>
      <c r="D329" s="43" t="s">
        <v>47</v>
      </c>
      <c r="E329" s="97">
        <v>1</v>
      </c>
      <c r="F329" s="45">
        <f>G336</f>
        <v>275.067168</v>
      </c>
      <c r="G329" s="46">
        <f aca="true" t="shared" si="16" ref="G329:G335">E329*F329</f>
        <v>275.067168</v>
      </c>
      <c r="H329" s="21"/>
    </row>
    <row r="330" spans="1:9" ht="36">
      <c r="A330" s="99"/>
      <c r="B330" s="168" t="s">
        <v>217</v>
      </c>
      <c r="C330" s="49" t="s">
        <v>547</v>
      </c>
      <c r="D330" s="50" t="s">
        <v>64</v>
      </c>
      <c r="E330" s="177">
        <f>1.68*2.63</f>
        <v>4.418399999999999</v>
      </c>
      <c r="F330" s="52">
        <v>48.77</v>
      </c>
      <c r="G330" s="53">
        <f t="shared" si="16"/>
        <v>215.48536799999997</v>
      </c>
      <c r="H330" s="21">
        <v>3.1</v>
      </c>
      <c r="I330" s="21">
        <f>H330*E330</f>
        <v>13.697039999999998</v>
      </c>
    </row>
    <row r="331" spans="1:9" ht="36">
      <c r="A331" s="164"/>
      <c r="B331" s="176" t="s">
        <v>218</v>
      </c>
      <c r="C331" s="152" t="s">
        <v>551</v>
      </c>
      <c r="D331" s="165" t="s">
        <v>47</v>
      </c>
      <c r="E331" s="177">
        <v>1.05</v>
      </c>
      <c r="F331" s="78">
        <v>24.35</v>
      </c>
      <c r="G331" s="70">
        <f t="shared" si="16"/>
        <v>25.567500000000003</v>
      </c>
      <c r="H331" s="218"/>
      <c r="I331" s="21">
        <f>13.73/H330</f>
        <v>4.429032258064516</v>
      </c>
    </row>
    <row r="332" spans="1:9" ht="18.75">
      <c r="A332" s="99"/>
      <c r="B332" s="168" t="s">
        <v>216</v>
      </c>
      <c r="C332" s="49" t="s">
        <v>548</v>
      </c>
      <c r="D332" s="50" t="s">
        <v>52</v>
      </c>
      <c r="E332" s="101">
        <v>0.15</v>
      </c>
      <c r="F332" s="52">
        <v>11.32</v>
      </c>
      <c r="G332" s="53">
        <f t="shared" si="16"/>
        <v>1.698</v>
      </c>
      <c r="I332" s="21">
        <f>I331/1.68</f>
        <v>2.6363287250384024</v>
      </c>
    </row>
    <row r="333" spans="1:7" ht="18.75">
      <c r="A333" s="99"/>
      <c r="B333" s="168" t="s">
        <v>215</v>
      </c>
      <c r="C333" s="49" t="s">
        <v>549</v>
      </c>
      <c r="D333" s="50" t="s">
        <v>52</v>
      </c>
      <c r="E333" s="101">
        <v>0.07</v>
      </c>
      <c r="F333" s="52">
        <v>13.09</v>
      </c>
      <c r="G333" s="53">
        <f t="shared" si="16"/>
        <v>0.9163000000000001</v>
      </c>
    </row>
    <row r="334" spans="1:7" ht="18.75">
      <c r="A334" s="99"/>
      <c r="B334" s="168" t="s">
        <v>200</v>
      </c>
      <c r="C334" s="49" t="s">
        <v>201</v>
      </c>
      <c r="D334" s="50" t="s">
        <v>7</v>
      </c>
      <c r="E334" s="101">
        <v>1</v>
      </c>
      <c r="F334" s="52">
        <v>19.33</v>
      </c>
      <c r="G334" s="53">
        <f t="shared" si="16"/>
        <v>19.33</v>
      </c>
    </row>
    <row r="335" spans="1:7" ht="18.75">
      <c r="A335" s="99"/>
      <c r="B335" s="168" t="s">
        <v>214</v>
      </c>
      <c r="C335" s="49" t="s">
        <v>550</v>
      </c>
      <c r="D335" s="50" t="s">
        <v>7</v>
      </c>
      <c r="E335" s="101">
        <v>0.5</v>
      </c>
      <c r="F335" s="52">
        <v>24.14</v>
      </c>
      <c r="G335" s="53">
        <f t="shared" si="16"/>
        <v>12.07</v>
      </c>
    </row>
    <row r="336" spans="1:7" ht="18.75">
      <c r="A336" s="99"/>
      <c r="B336" s="168"/>
      <c r="C336" s="49"/>
      <c r="D336" s="50"/>
      <c r="E336" s="101" t="s">
        <v>5</v>
      </c>
      <c r="F336" s="52"/>
      <c r="G336" s="53">
        <f>SUM(G330:G335)</f>
        <v>275.067168</v>
      </c>
    </row>
    <row r="337" spans="1:7" s="178" customFormat="1" ht="36">
      <c r="A337" s="294"/>
      <c r="B337" s="295"/>
      <c r="C337" s="152" t="s">
        <v>950</v>
      </c>
      <c r="D337" s="297"/>
      <c r="E337" s="298"/>
      <c r="F337" s="299"/>
      <c r="G337" s="303"/>
    </row>
    <row r="338" spans="1:7" s="178" customFormat="1" ht="18.75">
      <c r="A338" s="294"/>
      <c r="B338" s="295"/>
      <c r="C338" s="296"/>
      <c r="D338" s="297"/>
      <c r="E338" s="298"/>
      <c r="F338" s="299"/>
      <c r="G338" s="303"/>
    </row>
    <row r="339" spans="1:7" s="178" customFormat="1" ht="90">
      <c r="A339" s="99" t="s">
        <v>964</v>
      </c>
      <c r="B339" s="168" t="s">
        <v>951</v>
      </c>
      <c r="C339" s="49" t="s">
        <v>952</v>
      </c>
      <c r="D339" s="50" t="s">
        <v>0</v>
      </c>
      <c r="E339" s="101">
        <v>1</v>
      </c>
      <c r="F339" s="52">
        <f>TRUNC(158.784,2)</f>
        <v>158.78</v>
      </c>
      <c r="G339" s="70">
        <f>TRUNC(E339*F339,2)</f>
        <v>158.78</v>
      </c>
    </row>
    <row r="340" spans="1:7" s="178" customFormat="1" ht="36">
      <c r="A340" s="99"/>
      <c r="B340" s="168" t="s">
        <v>953</v>
      </c>
      <c r="C340" s="49" t="s">
        <v>954</v>
      </c>
      <c r="D340" s="50" t="s">
        <v>0</v>
      </c>
      <c r="E340" s="101">
        <v>1.6</v>
      </c>
      <c r="F340" s="52">
        <f>TRUNC(99.24,2)</f>
        <v>99.24</v>
      </c>
      <c r="G340" s="53">
        <f>TRUNC(E340*F340,2)</f>
        <v>158.78</v>
      </c>
    </row>
    <row r="341" spans="1:7" s="178" customFormat="1" ht="18.75">
      <c r="A341" s="99"/>
      <c r="B341" s="168"/>
      <c r="C341" s="49"/>
      <c r="D341" s="50"/>
      <c r="E341" s="101" t="s">
        <v>5</v>
      </c>
      <c r="F341" s="52"/>
      <c r="G341" s="53">
        <f>TRUNC(SUM(G340:G340),2)</f>
        <v>158.78</v>
      </c>
    </row>
    <row r="342" spans="1:7" s="178" customFormat="1" ht="54">
      <c r="A342" s="99" t="s">
        <v>965</v>
      </c>
      <c r="B342" s="168" t="s">
        <v>959</v>
      </c>
      <c r="C342" s="49" t="s">
        <v>960</v>
      </c>
      <c r="D342" s="50" t="s">
        <v>0</v>
      </c>
      <c r="E342" s="101">
        <v>1</v>
      </c>
      <c r="F342" s="52">
        <f>TRUNC(35.82,2)</f>
        <v>35.82</v>
      </c>
      <c r="G342" s="70">
        <f>TRUNC(E342*F342,2)</f>
        <v>35.82</v>
      </c>
    </row>
    <row r="343" spans="1:7" s="178" customFormat="1" ht="54">
      <c r="A343" s="99"/>
      <c r="B343" s="168" t="s">
        <v>961</v>
      </c>
      <c r="C343" s="49" t="s">
        <v>962</v>
      </c>
      <c r="D343" s="50" t="s">
        <v>0</v>
      </c>
      <c r="E343" s="101">
        <v>1</v>
      </c>
      <c r="F343" s="52">
        <f>TRUNC(35.82,2)</f>
        <v>35.82</v>
      </c>
      <c r="G343" s="53">
        <f>TRUNC(E343*F343,2)</f>
        <v>35.82</v>
      </c>
    </row>
    <row r="344" spans="1:7" s="178" customFormat="1" ht="18.75">
      <c r="A344" s="99"/>
      <c r="B344" s="168"/>
      <c r="C344" s="49"/>
      <c r="D344" s="50"/>
      <c r="E344" s="101" t="s">
        <v>5</v>
      </c>
      <c r="F344" s="52"/>
      <c r="G344" s="53">
        <f>TRUNC(SUM(G343:G343),2)</f>
        <v>35.82</v>
      </c>
    </row>
    <row r="345" spans="1:7" s="178" customFormat="1" ht="36">
      <c r="A345" s="99" t="s">
        <v>966</v>
      </c>
      <c r="B345" s="168" t="s">
        <v>955</v>
      </c>
      <c r="C345" s="49" t="s">
        <v>956</v>
      </c>
      <c r="D345" s="50" t="s">
        <v>0</v>
      </c>
      <c r="E345" s="101">
        <v>2</v>
      </c>
      <c r="F345" s="52">
        <f>TRUNC(11.42,2)</f>
        <v>11.42</v>
      </c>
      <c r="G345" s="70">
        <f>TRUNC(E345*F345,2)</f>
        <v>22.84</v>
      </c>
    </row>
    <row r="346" spans="1:7" s="178" customFormat="1" ht="36">
      <c r="A346" s="99"/>
      <c r="B346" s="168" t="s">
        <v>957</v>
      </c>
      <c r="C346" s="49" t="s">
        <v>958</v>
      </c>
      <c r="D346" s="50" t="s">
        <v>0</v>
      </c>
      <c r="E346" s="101">
        <v>1</v>
      </c>
      <c r="F346" s="52">
        <f>TRUNC(11.42,2)</f>
        <v>11.42</v>
      </c>
      <c r="G346" s="53">
        <f>TRUNC(E346*F346,2)</f>
        <v>11.42</v>
      </c>
    </row>
    <row r="347" spans="1:7" s="178" customFormat="1" ht="18.75">
      <c r="A347" s="99"/>
      <c r="B347" s="168"/>
      <c r="C347" s="49"/>
      <c r="D347" s="50"/>
      <c r="E347" s="101" t="s">
        <v>5</v>
      </c>
      <c r="F347" s="52"/>
      <c r="G347" s="53">
        <f>TRUNC(SUM(G346:G346),2)</f>
        <v>11.42</v>
      </c>
    </row>
    <row r="348" spans="1:7" s="178" customFormat="1" ht="54">
      <c r="A348" s="99"/>
      <c r="B348" s="168"/>
      <c r="C348" s="152" t="s">
        <v>963</v>
      </c>
      <c r="D348" s="433"/>
      <c r="E348" s="101"/>
      <c r="F348" s="52"/>
      <c r="G348" s="53"/>
    </row>
    <row r="349" spans="1:7" ht="90">
      <c r="A349" s="105" t="s">
        <v>312</v>
      </c>
      <c r="B349" s="394" t="s">
        <v>1007</v>
      </c>
      <c r="C349" s="73" t="s">
        <v>1012</v>
      </c>
      <c r="D349" s="74" t="s">
        <v>47</v>
      </c>
      <c r="E349" s="107">
        <v>501.89</v>
      </c>
      <c r="F349" s="76">
        <f>TRUNC(F350,2)</f>
        <v>78.3</v>
      </c>
      <c r="G349" s="77">
        <f>TRUNC((E349*F349),2)</f>
        <v>39297.98</v>
      </c>
    </row>
    <row r="350" spans="1:7" ht="54">
      <c r="A350" s="99"/>
      <c r="B350" s="168" t="s">
        <v>270</v>
      </c>
      <c r="C350" s="49" t="s">
        <v>553</v>
      </c>
      <c r="D350" s="50" t="s">
        <v>47</v>
      </c>
      <c r="E350" s="101">
        <v>1</v>
      </c>
      <c r="F350" s="52">
        <f>G363</f>
        <v>78.30418500000002</v>
      </c>
      <c r="G350" s="125">
        <f aca="true" t="shared" si="17" ref="G350:G358">E350*F350</f>
        <v>78.30418500000002</v>
      </c>
    </row>
    <row r="351" spans="1:7" s="218" customFormat="1" ht="54">
      <c r="A351" s="164"/>
      <c r="B351" s="176" t="s">
        <v>1005</v>
      </c>
      <c r="C351" s="152" t="s">
        <v>1006</v>
      </c>
      <c r="D351" s="165" t="s">
        <v>42</v>
      </c>
      <c r="E351" s="177">
        <v>0.1213</v>
      </c>
      <c r="F351" s="78">
        <v>272.91</v>
      </c>
      <c r="G351" s="403">
        <f t="shared" si="17"/>
        <v>33.10398300000001</v>
      </c>
    </row>
    <row r="352" spans="1:7" ht="54">
      <c r="A352" s="99"/>
      <c r="B352" s="168" t="s">
        <v>209</v>
      </c>
      <c r="C352" s="49" t="s">
        <v>210</v>
      </c>
      <c r="D352" s="50" t="s">
        <v>47</v>
      </c>
      <c r="E352" s="101">
        <v>1.1224</v>
      </c>
      <c r="F352" s="52">
        <v>16.79</v>
      </c>
      <c r="G352" s="125">
        <f t="shared" si="17"/>
        <v>18.845096</v>
      </c>
    </row>
    <row r="353" spans="1:7" ht="36">
      <c r="A353" s="99"/>
      <c r="B353" s="168" t="s">
        <v>273</v>
      </c>
      <c r="C353" s="49" t="s">
        <v>800</v>
      </c>
      <c r="D353" s="50" t="s">
        <v>64</v>
      </c>
      <c r="E353" s="101">
        <v>0.2</v>
      </c>
      <c r="F353" s="52">
        <v>1.51</v>
      </c>
      <c r="G353" s="125">
        <f t="shared" si="17"/>
        <v>0.30200000000000005</v>
      </c>
    </row>
    <row r="354" spans="1:7" ht="36">
      <c r="A354" s="99"/>
      <c r="B354" s="168" t="s">
        <v>272</v>
      </c>
      <c r="C354" s="49" t="s">
        <v>635</v>
      </c>
      <c r="D354" s="50" t="s">
        <v>64</v>
      </c>
      <c r="E354" s="101">
        <v>0.25</v>
      </c>
      <c r="F354" s="52">
        <v>7.5</v>
      </c>
      <c r="G354" s="125">
        <f t="shared" si="17"/>
        <v>1.875</v>
      </c>
    </row>
    <row r="355" spans="1:7" ht="18.75">
      <c r="A355" s="99"/>
      <c r="B355" s="168" t="s">
        <v>271</v>
      </c>
      <c r="C355" s="49" t="s">
        <v>636</v>
      </c>
      <c r="D355" s="50" t="s">
        <v>47</v>
      </c>
      <c r="E355" s="101">
        <v>1.128</v>
      </c>
      <c r="F355" s="52">
        <v>0.82</v>
      </c>
      <c r="G355" s="125">
        <f t="shared" si="17"/>
        <v>0.9249599999999999</v>
      </c>
    </row>
    <row r="356" spans="1:7" ht="18.75">
      <c r="A356" s="99"/>
      <c r="B356" s="168" t="s">
        <v>200</v>
      </c>
      <c r="C356" s="49" t="s">
        <v>201</v>
      </c>
      <c r="D356" s="50" t="s">
        <v>7</v>
      </c>
      <c r="E356" s="101">
        <v>0.385</v>
      </c>
      <c r="F356" s="52">
        <v>19.33</v>
      </c>
      <c r="G356" s="125">
        <f t="shared" si="17"/>
        <v>7.442049999999999</v>
      </c>
    </row>
    <row r="357" spans="1:7" ht="18.75">
      <c r="A357" s="99"/>
      <c r="B357" s="168" t="s">
        <v>198</v>
      </c>
      <c r="C357" s="49" t="s">
        <v>199</v>
      </c>
      <c r="D357" s="50" t="s">
        <v>7</v>
      </c>
      <c r="E357" s="101">
        <v>0.1594</v>
      </c>
      <c r="F357" s="52">
        <v>24.28</v>
      </c>
      <c r="G357" s="125">
        <f t="shared" si="17"/>
        <v>3.8702319999999997</v>
      </c>
    </row>
    <row r="358" spans="1:7" ht="18.75">
      <c r="A358" s="99"/>
      <c r="B358" s="168" t="s">
        <v>274</v>
      </c>
      <c r="C358" s="49" t="s">
        <v>637</v>
      </c>
      <c r="D358" s="50" t="s">
        <v>7</v>
      </c>
      <c r="E358" s="101">
        <v>0.2256</v>
      </c>
      <c r="F358" s="52">
        <v>23.94</v>
      </c>
      <c r="G358" s="125">
        <f t="shared" si="17"/>
        <v>5.400864</v>
      </c>
    </row>
    <row r="359" spans="1:7" s="461" customFormat="1" ht="54">
      <c r="A359" s="462"/>
      <c r="B359" s="462" t="s">
        <v>1010</v>
      </c>
      <c r="C359" s="463" t="s">
        <v>1008</v>
      </c>
      <c r="D359" s="462" t="s">
        <v>792</v>
      </c>
      <c r="E359" s="462">
        <v>0.9</v>
      </c>
      <c r="F359" s="462">
        <v>4.989999771118164</v>
      </c>
      <c r="G359" s="462">
        <f>TRUNC(E359*F359,2)</f>
        <v>4.49</v>
      </c>
    </row>
    <row r="360" spans="1:7" s="461" customFormat="1" ht="54">
      <c r="A360" s="462"/>
      <c r="B360" s="462" t="s">
        <v>1011</v>
      </c>
      <c r="C360" s="463" t="s">
        <v>1009</v>
      </c>
      <c r="D360" s="462" t="s">
        <v>789</v>
      </c>
      <c r="E360" s="462">
        <v>0.1</v>
      </c>
      <c r="F360" s="462">
        <v>0.49000000953674316</v>
      </c>
      <c r="G360" s="462">
        <f>TRUNC(E360*F360,2)</f>
        <v>0.04</v>
      </c>
    </row>
    <row r="361" spans="1:7" s="461" customFormat="1" ht="36">
      <c r="A361" s="462"/>
      <c r="B361" s="462" t="s">
        <v>1013</v>
      </c>
      <c r="C361" s="463" t="s">
        <v>1014</v>
      </c>
      <c r="D361" s="462" t="s">
        <v>792</v>
      </c>
      <c r="E361" s="462">
        <v>0.9</v>
      </c>
      <c r="F361" s="462">
        <v>2.190000057220459</v>
      </c>
      <c r="G361" s="462">
        <f>TRUNC(E361*F361,2)</f>
        <v>1.97</v>
      </c>
    </row>
    <row r="362" spans="1:7" s="461" customFormat="1" ht="36">
      <c r="A362" s="462"/>
      <c r="B362" s="462" t="s">
        <v>1015</v>
      </c>
      <c r="C362" s="463" t="s">
        <v>1016</v>
      </c>
      <c r="D362" s="462" t="s">
        <v>789</v>
      </c>
      <c r="E362" s="462">
        <v>0.1</v>
      </c>
      <c r="F362" s="462">
        <v>0.49000000953674316</v>
      </c>
      <c r="G362" s="462">
        <f>TRUNC(E362*F362,2)</f>
        <v>0.04</v>
      </c>
    </row>
    <row r="363" spans="1:7" ht="18.75">
      <c r="A363" s="99"/>
      <c r="B363" s="168"/>
      <c r="C363" s="49"/>
      <c r="D363" s="50"/>
      <c r="E363" s="101"/>
      <c r="F363" s="52" t="s">
        <v>801</v>
      </c>
      <c r="G363" s="125">
        <f>SUM(G351:G362)</f>
        <v>78.30418500000002</v>
      </c>
    </row>
    <row r="364" spans="1:7" ht="36">
      <c r="A364" s="92" t="s">
        <v>319</v>
      </c>
      <c r="B364" s="93" t="s">
        <v>405</v>
      </c>
      <c r="C364" s="35" t="s">
        <v>421</v>
      </c>
      <c r="D364" s="36" t="s">
        <v>420</v>
      </c>
      <c r="E364" s="94">
        <v>1</v>
      </c>
      <c r="F364" s="38">
        <f>TRUNC(F365,2)</f>
        <v>1187.54</v>
      </c>
      <c r="G364" s="69">
        <f>TRUNC((E364*F364),2)</f>
        <v>1187.54</v>
      </c>
    </row>
    <row r="365" spans="1:7" ht="54">
      <c r="A365" s="95"/>
      <c r="B365" s="96" t="s">
        <v>405</v>
      </c>
      <c r="C365" s="42" t="s">
        <v>802</v>
      </c>
      <c r="D365" s="43" t="s">
        <v>406</v>
      </c>
      <c r="E365" s="97">
        <v>1</v>
      </c>
      <c r="F365" s="45">
        <f>G369</f>
        <v>1187.54</v>
      </c>
      <c r="G365" s="46">
        <f>TRUNC(E365*F365,2)</f>
        <v>1187.54</v>
      </c>
    </row>
    <row r="366" spans="1:7" ht="36">
      <c r="A366" s="99"/>
      <c r="B366" s="100" t="s">
        <v>407</v>
      </c>
      <c r="C366" s="49" t="s">
        <v>408</v>
      </c>
      <c r="D366" s="50" t="s">
        <v>0</v>
      </c>
      <c r="E366" s="101">
        <v>1</v>
      </c>
      <c r="F366" s="52">
        <f>TRUNC(1123.34,2)</f>
        <v>1123.34</v>
      </c>
      <c r="G366" s="53">
        <f>TRUNC(E366*F366,2)</f>
        <v>1123.34</v>
      </c>
    </row>
    <row r="367" spans="1:7" ht="36">
      <c r="A367" s="99"/>
      <c r="B367" s="100" t="s">
        <v>43</v>
      </c>
      <c r="C367" s="49" t="s">
        <v>44</v>
      </c>
      <c r="D367" s="50" t="s">
        <v>7</v>
      </c>
      <c r="E367" s="101">
        <v>2.06</v>
      </c>
      <c r="F367" s="52">
        <f>TRUNC(12.54,2)</f>
        <v>12.54</v>
      </c>
      <c r="G367" s="53">
        <f>TRUNC(E367*F367,2)</f>
        <v>25.83</v>
      </c>
    </row>
    <row r="368" spans="1:7" ht="36">
      <c r="A368" s="99"/>
      <c r="B368" s="100" t="s">
        <v>90</v>
      </c>
      <c r="C368" s="49" t="s">
        <v>409</v>
      </c>
      <c r="D368" s="50" t="s">
        <v>7</v>
      </c>
      <c r="E368" s="101">
        <v>2.06</v>
      </c>
      <c r="F368" s="52">
        <f>TRUNC(18.63,2)</f>
        <v>18.63</v>
      </c>
      <c r="G368" s="53">
        <f>TRUNC(E368*F368,2)</f>
        <v>38.37</v>
      </c>
    </row>
    <row r="369" spans="1:7" ht="18.75">
      <c r="A369" s="99"/>
      <c r="B369" s="100"/>
      <c r="C369" s="49"/>
      <c r="D369" s="50"/>
      <c r="E369" s="101" t="s">
        <v>5</v>
      </c>
      <c r="F369" s="52"/>
      <c r="G369" s="53">
        <f>TRUNC(SUM(G366:G368),2)</f>
        <v>1187.54</v>
      </c>
    </row>
    <row r="370" spans="1:7" ht="37.5">
      <c r="A370" s="105" t="s">
        <v>621</v>
      </c>
      <c r="B370" s="154" t="s">
        <v>418</v>
      </c>
      <c r="C370" s="73" t="s">
        <v>419</v>
      </c>
      <c r="D370" s="74" t="s">
        <v>420</v>
      </c>
      <c r="E370" s="107">
        <v>1</v>
      </c>
      <c r="F370" s="76">
        <f>TRUNC((F371+F374),2)</f>
        <v>1836.8</v>
      </c>
      <c r="G370" s="77">
        <f>TRUNC((E370*F370),2)</f>
        <v>1836.8</v>
      </c>
    </row>
    <row r="371" spans="1:7" ht="36">
      <c r="A371" s="95"/>
      <c r="B371" s="167" t="s">
        <v>410</v>
      </c>
      <c r="C371" s="42" t="s">
        <v>411</v>
      </c>
      <c r="D371" s="43" t="s">
        <v>406</v>
      </c>
      <c r="E371" s="97">
        <v>1</v>
      </c>
      <c r="F371" s="45">
        <f>G373</f>
        <v>1785</v>
      </c>
      <c r="G371" s="46">
        <f>TRUNC(E371*F371,2)</f>
        <v>1785</v>
      </c>
    </row>
    <row r="372" spans="1:7" ht="36">
      <c r="A372" s="99"/>
      <c r="B372" s="168" t="s">
        <v>412</v>
      </c>
      <c r="C372" s="49" t="s">
        <v>413</v>
      </c>
      <c r="D372" s="50" t="s">
        <v>0</v>
      </c>
      <c r="E372" s="101">
        <v>1</v>
      </c>
      <c r="F372" s="52">
        <f>TRUNC(1785,2)</f>
        <v>1785</v>
      </c>
      <c r="G372" s="53">
        <f>TRUNC(E372*F372,2)</f>
        <v>1785</v>
      </c>
    </row>
    <row r="373" spans="1:7" ht="18.75">
      <c r="A373" s="99"/>
      <c r="B373" s="168"/>
      <c r="C373" s="49"/>
      <c r="D373" s="50"/>
      <c r="E373" s="101" t="s">
        <v>5</v>
      </c>
      <c r="F373" s="78"/>
      <c r="G373" s="53">
        <f>TRUNC(SUM(G372:G372),2)</f>
        <v>1785</v>
      </c>
    </row>
    <row r="374" spans="1:7" ht="18.75">
      <c r="A374" s="99"/>
      <c r="B374" s="168" t="s">
        <v>414</v>
      </c>
      <c r="C374" s="49" t="s">
        <v>415</v>
      </c>
      <c r="D374" s="50" t="s">
        <v>406</v>
      </c>
      <c r="E374" s="101">
        <v>1</v>
      </c>
      <c r="F374" s="78">
        <f>G376</f>
        <v>51.8</v>
      </c>
      <c r="G374" s="53">
        <f>E374*F374</f>
        <v>51.8</v>
      </c>
    </row>
    <row r="375" spans="1:7" ht="18.75">
      <c r="A375" s="99"/>
      <c r="B375" s="168" t="s">
        <v>416</v>
      </c>
      <c r="C375" s="49" t="s">
        <v>417</v>
      </c>
      <c r="D375" s="50" t="s">
        <v>0</v>
      </c>
      <c r="E375" s="101">
        <v>1</v>
      </c>
      <c r="F375" s="52">
        <v>51.8</v>
      </c>
      <c r="G375" s="53">
        <f>E375*F375</f>
        <v>51.8</v>
      </c>
    </row>
    <row r="376" spans="1:7" ht="18.75">
      <c r="A376" s="99"/>
      <c r="B376" s="168"/>
      <c r="C376" s="49"/>
      <c r="D376" s="50"/>
      <c r="E376" s="101" t="s">
        <v>5</v>
      </c>
      <c r="F376" s="78"/>
      <c r="G376" s="53">
        <f>SUM(G375:G375)</f>
        <v>51.8</v>
      </c>
    </row>
    <row r="377" spans="1:12" ht="60">
      <c r="A377" s="268" t="s">
        <v>722</v>
      </c>
      <c r="B377" s="269" t="s">
        <v>710</v>
      </c>
      <c r="C377" s="270" t="s">
        <v>711</v>
      </c>
      <c r="D377" s="271" t="s">
        <v>64</v>
      </c>
      <c r="E377" s="272">
        <v>617.77</v>
      </c>
      <c r="F377" s="273">
        <f>TRUNC((F378+F382),2)</f>
        <v>29.82</v>
      </c>
      <c r="G377" s="77">
        <f>TRUNC((E377*F377),2)</f>
        <v>18421.9</v>
      </c>
      <c r="I377" s="189"/>
      <c r="J377" s="189"/>
      <c r="K377" s="189"/>
      <c r="L377" s="189"/>
    </row>
    <row r="378" spans="1:12" ht="31.5">
      <c r="A378" s="275"/>
      <c r="B378" s="276" t="s">
        <v>712</v>
      </c>
      <c r="C378" s="277" t="s">
        <v>713</v>
      </c>
      <c r="D378" s="278" t="s">
        <v>64</v>
      </c>
      <c r="E378" s="279">
        <v>1</v>
      </c>
      <c r="F378" s="280">
        <f>G381</f>
        <v>12.009585000000001</v>
      </c>
      <c r="G378" s="274">
        <f>E378*F378</f>
        <v>12.009585000000001</v>
      </c>
      <c r="H378" s="274"/>
      <c r="I378" s="189"/>
      <c r="J378" s="189"/>
      <c r="K378" s="189"/>
      <c r="L378" s="189"/>
    </row>
    <row r="379" spans="1:12" ht="18.75">
      <c r="A379" s="275"/>
      <c r="B379" s="276" t="s">
        <v>714</v>
      </c>
      <c r="C379" s="277" t="s">
        <v>715</v>
      </c>
      <c r="D379" s="278" t="s">
        <v>7</v>
      </c>
      <c r="E379" s="279">
        <v>0.395</v>
      </c>
      <c r="F379" s="280">
        <v>20.007</v>
      </c>
      <c r="G379" s="274">
        <f>E379*F379</f>
        <v>7.9027650000000005</v>
      </c>
      <c r="H379" s="274"/>
      <c r="I379" s="189"/>
      <c r="J379" s="189"/>
      <c r="K379" s="189"/>
      <c r="L379" s="189"/>
    </row>
    <row r="380" spans="1:12" ht="18.75">
      <c r="A380" s="275"/>
      <c r="B380" s="276" t="s">
        <v>716</v>
      </c>
      <c r="C380" s="277" t="s">
        <v>717</v>
      </c>
      <c r="D380" s="278" t="s">
        <v>7</v>
      </c>
      <c r="E380" s="279">
        <v>0.05</v>
      </c>
      <c r="F380" s="280">
        <v>82.1364</v>
      </c>
      <c r="G380" s="274">
        <f>E380*F380</f>
        <v>4.10682</v>
      </c>
      <c r="H380" s="274"/>
      <c r="I380" s="189"/>
      <c r="J380" s="189"/>
      <c r="K380" s="189"/>
      <c r="L380" s="189"/>
    </row>
    <row r="381" spans="1:12" ht="18.75">
      <c r="A381" s="275"/>
      <c r="B381" s="276"/>
      <c r="C381" s="277"/>
      <c r="D381" s="278"/>
      <c r="E381" s="279" t="s">
        <v>5</v>
      </c>
      <c r="F381" s="280"/>
      <c r="G381" s="274">
        <f>SUM(G379:G380)</f>
        <v>12.009585000000001</v>
      </c>
      <c r="H381" s="274"/>
      <c r="I381" s="189"/>
      <c r="J381" s="189"/>
      <c r="K381" s="189"/>
      <c r="L381" s="189"/>
    </row>
    <row r="382" spans="1:12" ht="31.5">
      <c r="A382" s="275"/>
      <c r="B382" s="276" t="s">
        <v>718</v>
      </c>
      <c r="C382" s="277" t="s">
        <v>719</v>
      </c>
      <c r="D382" s="278" t="s">
        <v>64</v>
      </c>
      <c r="E382" s="279">
        <v>1</v>
      </c>
      <c r="F382" s="280">
        <f>G388</f>
        <v>17.81672</v>
      </c>
      <c r="G382" s="274">
        <f aca="true" t="shared" si="18" ref="G382:G387">E382*F382</f>
        <v>17.81672</v>
      </c>
      <c r="H382" s="274"/>
      <c r="I382" s="189"/>
      <c r="J382" s="189"/>
      <c r="K382" s="189"/>
      <c r="L382" s="189"/>
    </row>
    <row r="383" spans="1:12" ht="18.75">
      <c r="A383" s="275"/>
      <c r="B383" s="276" t="s">
        <v>720</v>
      </c>
      <c r="C383" s="277" t="s">
        <v>721</v>
      </c>
      <c r="D383" s="278" t="s">
        <v>52</v>
      </c>
      <c r="E383" s="279">
        <v>0.8</v>
      </c>
      <c r="F383" s="280">
        <v>10.2722</v>
      </c>
      <c r="G383" s="274">
        <f t="shared" si="18"/>
        <v>8.21776</v>
      </c>
      <c r="H383" s="274"/>
      <c r="I383" s="189"/>
      <c r="J383" s="189"/>
      <c r="K383" s="189"/>
      <c r="L383" s="189"/>
    </row>
    <row r="384" spans="1:12" ht="18.75">
      <c r="A384" s="275"/>
      <c r="B384" s="276" t="s">
        <v>453</v>
      </c>
      <c r="C384" s="277" t="s">
        <v>542</v>
      </c>
      <c r="D384" s="278" t="s">
        <v>52</v>
      </c>
      <c r="E384" s="279">
        <v>0.8</v>
      </c>
      <c r="F384" s="280">
        <v>0.34</v>
      </c>
      <c r="G384" s="274">
        <f t="shared" si="18"/>
        <v>0.272</v>
      </c>
      <c r="H384" s="274"/>
      <c r="I384" s="189"/>
      <c r="J384" s="189"/>
      <c r="K384" s="189"/>
      <c r="L384" s="189"/>
    </row>
    <row r="385" spans="1:12" ht="18.75">
      <c r="A385" s="275"/>
      <c r="B385" s="276" t="s">
        <v>451</v>
      </c>
      <c r="C385" s="277" t="s">
        <v>452</v>
      </c>
      <c r="D385" s="278" t="s">
        <v>42</v>
      </c>
      <c r="E385" s="279">
        <v>0.0019</v>
      </c>
      <c r="F385" s="280">
        <v>56</v>
      </c>
      <c r="G385" s="274">
        <f t="shared" si="18"/>
        <v>0.1064</v>
      </c>
      <c r="H385" s="274"/>
      <c r="I385" s="189"/>
      <c r="J385" s="189"/>
      <c r="K385" s="189"/>
      <c r="L385" s="189"/>
    </row>
    <row r="386" spans="1:12" ht="31.5">
      <c r="A386" s="275"/>
      <c r="B386" s="276" t="s">
        <v>43</v>
      </c>
      <c r="C386" s="277" t="s">
        <v>44</v>
      </c>
      <c r="D386" s="278" t="s">
        <v>7</v>
      </c>
      <c r="E386" s="279">
        <v>0.309</v>
      </c>
      <c r="F386" s="280">
        <v>12.54</v>
      </c>
      <c r="G386" s="274">
        <f t="shared" si="18"/>
        <v>3.8748599999999995</v>
      </c>
      <c r="H386" s="274"/>
      <c r="I386" s="189"/>
      <c r="J386" s="189"/>
      <c r="K386" s="189"/>
      <c r="L386" s="189"/>
    </row>
    <row r="387" spans="1:12" ht="18.75">
      <c r="A387" s="275"/>
      <c r="B387" s="276" t="s">
        <v>46</v>
      </c>
      <c r="C387" s="277" t="s">
        <v>458</v>
      </c>
      <c r="D387" s="278" t="s">
        <v>7</v>
      </c>
      <c r="E387" s="279">
        <v>0.309</v>
      </c>
      <c r="F387" s="280">
        <v>17.3</v>
      </c>
      <c r="G387" s="274">
        <f t="shared" si="18"/>
        <v>5.3457</v>
      </c>
      <c r="H387" s="274"/>
      <c r="I387" s="189"/>
      <c r="J387" s="189"/>
      <c r="K387" s="189"/>
      <c r="L387" s="189"/>
    </row>
    <row r="388" spans="1:12" ht="18.75">
      <c r="A388" s="275"/>
      <c r="B388" s="276"/>
      <c r="C388" s="277"/>
      <c r="D388" s="278"/>
      <c r="E388" s="279" t="s">
        <v>5</v>
      </c>
      <c r="F388" s="280"/>
      <c r="G388" s="274">
        <f>SUM(G383:G387)</f>
        <v>17.81672</v>
      </c>
      <c r="H388" s="274"/>
      <c r="I388" s="189"/>
      <c r="J388" s="189"/>
      <c r="K388" s="189"/>
      <c r="L388" s="189"/>
    </row>
    <row r="389" spans="1:7" ht="36">
      <c r="A389" s="105" t="s">
        <v>725</v>
      </c>
      <c r="B389" s="154" t="s">
        <v>735</v>
      </c>
      <c r="C389" s="73" t="s">
        <v>736</v>
      </c>
      <c r="D389" s="74" t="s">
        <v>420</v>
      </c>
      <c r="E389" s="107">
        <v>1</v>
      </c>
      <c r="F389" s="76">
        <f>TRUNC(F390,2)</f>
        <v>720</v>
      </c>
      <c r="G389" s="77">
        <f>TRUNC((E389*F389),2)</f>
        <v>720</v>
      </c>
    </row>
    <row r="390" spans="1:7" ht="36">
      <c r="A390" s="95"/>
      <c r="B390" s="167" t="s">
        <v>726</v>
      </c>
      <c r="C390" s="42" t="s">
        <v>727</v>
      </c>
      <c r="D390" s="43" t="s">
        <v>406</v>
      </c>
      <c r="E390" s="97">
        <v>1</v>
      </c>
      <c r="F390" s="98">
        <f>G392</f>
        <v>720</v>
      </c>
      <c r="G390" s="46">
        <f>E390*F390</f>
        <v>720</v>
      </c>
    </row>
    <row r="391" spans="1:7" ht="36">
      <c r="A391" s="99"/>
      <c r="B391" s="168" t="s">
        <v>728</v>
      </c>
      <c r="C391" s="49" t="s">
        <v>729</v>
      </c>
      <c r="D391" s="50" t="s">
        <v>0</v>
      </c>
      <c r="E391" s="101">
        <v>1</v>
      </c>
      <c r="F391" s="52">
        <v>720</v>
      </c>
      <c r="G391" s="53">
        <f>E391*F391</f>
        <v>720</v>
      </c>
    </row>
    <row r="392" spans="1:7" ht="18.75">
      <c r="A392" s="99"/>
      <c r="B392" s="168"/>
      <c r="C392" s="49"/>
      <c r="D392" s="50"/>
      <c r="E392" s="101" t="s">
        <v>5</v>
      </c>
      <c r="F392" s="78"/>
      <c r="G392" s="53">
        <f>SUM(G391:G391)</f>
        <v>720</v>
      </c>
    </row>
    <row r="393" spans="1:7" ht="18.75">
      <c r="A393" s="92" t="s">
        <v>734</v>
      </c>
      <c r="B393" s="182" t="s">
        <v>730</v>
      </c>
      <c r="C393" s="35" t="s">
        <v>737</v>
      </c>
      <c r="D393" s="36" t="s">
        <v>224</v>
      </c>
      <c r="E393" s="94">
        <v>1</v>
      </c>
      <c r="F393" s="76">
        <f>TRUNC(F394,2)</f>
        <v>129.95</v>
      </c>
      <c r="G393" s="69">
        <f>TRUNC((E393*F393),2)</f>
        <v>129.95</v>
      </c>
    </row>
    <row r="394" spans="1:7" ht="18.75">
      <c r="A394" s="95"/>
      <c r="B394" s="167" t="s">
        <v>730</v>
      </c>
      <c r="C394" s="42" t="s">
        <v>731</v>
      </c>
      <c r="D394" s="43" t="s">
        <v>0</v>
      </c>
      <c r="E394" s="97">
        <v>1</v>
      </c>
      <c r="F394" s="98">
        <f>G396</f>
        <v>129.95</v>
      </c>
      <c r="G394" s="46">
        <f>E394*F394</f>
        <v>129.95</v>
      </c>
    </row>
    <row r="395" spans="1:7" ht="18.75">
      <c r="A395" s="99"/>
      <c r="B395" s="168" t="s">
        <v>732</v>
      </c>
      <c r="C395" s="49" t="s">
        <v>733</v>
      </c>
      <c r="D395" s="50" t="s">
        <v>0</v>
      </c>
      <c r="E395" s="101">
        <v>1</v>
      </c>
      <c r="F395" s="52">
        <v>129.95</v>
      </c>
      <c r="G395" s="53">
        <f>E395*F395</f>
        <v>129.95</v>
      </c>
    </row>
    <row r="396" spans="1:7" ht="18.75">
      <c r="A396" s="102"/>
      <c r="B396" s="175"/>
      <c r="C396" s="56"/>
      <c r="D396" s="57"/>
      <c r="E396" s="104" t="s">
        <v>5</v>
      </c>
      <c r="F396" s="181"/>
      <c r="G396" s="60">
        <f>SUM(G395:G395)</f>
        <v>129.95</v>
      </c>
    </row>
    <row r="397" spans="1:8" s="329" customFormat="1" ht="54">
      <c r="A397" s="326" t="s">
        <v>843</v>
      </c>
      <c r="B397" s="326" t="s">
        <v>886</v>
      </c>
      <c r="C397" s="73" t="s">
        <v>911</v>
      </c>
      <c r="D397" s="325" t="s">
        <v>203</v>
      </c>
      <c r="E397" s="325">
        <v>66.14</v>
      </c>
      <c r="F397" s="327">
        <f>TRUNC(F398,2)</f>
        <v>59.62</v>
      </c>
      <c r="G397" s="328">
        <f>TRUNC((E397*F397),2)</f>
        <v>3943.26</v>
      </c>
      <c r="H397" s="21"/>
    </row>
    <row r="398" spans="1:7" s="330" customFormat="1" ht="54">
      <c r="A398" s="333"/>
      <c r="B398" s="334" t="s">
        <v>891</v>
      </c>
      <c r="C398" s="335" t="s">
        <v>892</v>
      </c>
      <c r="D398" s="336" t="s">
        <v>47</v>
      </c>
      <c r="E398" s="337">
        <v>1</v>
      </c>
      <c r="F398" s="338">
        <f>G404</f>
        <v>59.62</v>
      </c>
      <c r="G398" s="339">
        <f aca="true" t="shared" si="19" ref="G398:G403">TRUNC(E398*F398,2)</f>
        <v>59.62</v>
      </c>
    </row>
    <row r="399" spans="1:7" s="330" customFormat="1" ht="36">
      <c r="A399" s="333"/>
      <c r="B399" s="331" t="s">
        <v>887</v>
      </c>
      <c r="C399" s="332" t="s">
        <v>888</v>
      </c>
      <c r="D399" s="336" t="s">
        <v>47</v>
      </c>
      <c r="E399" s="337">
        <v>1</v>
      </c>
      <c r="F399" s="338">
        <v>42.81</v>
      </c>
      <c r="G399" s="339">
        <f t="shared" si="19"/>
        <v>42.81</v>
      </c>
    </row>
    <row r="400" spans="1:7" s="330" customFormat="1" ht="36">
      <c r="A400" s="333"/>
      <c r="B400" s="334" t="s">
        <v>889</v>
      </c>
      <c r="C400" s="335" t="s">
        <v>890</v>
      </c>
      <c r="D400" s="336" t="s">
        <v>52</v>
      </c>
      <c r="E400" s="337">
        <v>0.52</v>
      </c>
      <c r="F400" s="338">
        <f>TRUNC(4.8658,2)</f>
        <v>4.86</v>
      </c>
      <c r="G400" s="339">
        <f t="shared" si="19"/>
        <v>2.52</v>
      </c>
    </row>
    <row r="401" spans="1:7" s="330" customFormat="1" ht="36">
      <c r="A401" s="333"/>
      <c r="B401" s="334" t="s">
        <v>43</v>
      </c>
      <c r="C401" s="335" t="s">
        <v>44</v>
      </c>
      <c r="D401" s="336" t="s">
        <v>7</v>
      </c>
      <c r="E401" s="337">
        <v>0.41200000000000003</v>
      </c>
      <c r="F401" s="338">
        <f>TRUNC(12.54,2)</f>
        <v>12.54</v>
      </c>
      <c r="G401" s="339">
        <f t="shared" si="19"/>
        <v>5.16</v>
      </c>
    </row>
    <row r="402" spans="1:7" s="330" customFormat="1" ht="36">
      <c r="A402" s="333"/>
      <c r="B402" s="334" t="s">
        <v>46</v>
      </c>
      <c r="C402" s="335" t="s">
        <v>458</v>
      </c>
      <c r="D402" s="336" t="s">
        <v>7</v>
      </c>
      <c r="E402" s="337">
        <v>0.41200000000000003</v>
      </c>
      <c r="F402" s="338">
        <f>TRUNC(17.3,2)</f>
        <v>17.3</v>
      </c>
      <c r="G402" s="339">
        <f t="shared" si="19"/>
        <v>7.12</v>
      </c>
    </row>
    <row r="403" spans="1:7" s="330" customFormat="1" ht="36">
      <c r="A403" s="333"/>
      <c r="B403" s="334" t="s">
        <v>135</v>
      </c>
      <c r="C403" s="335" t="s">
        <v>533</v>
      </c>
      <c r="D403" s="336" t="s">
        <v>42</v>
      </c>
      <c r="E403" s="337">
        <v>0.008</v>
      </c>
      <c r="F403" s="338">
        <f>TRUNC(252.3475,2)</f>
        <v>252.34</v>
      </c>
      <c r="G403" s="339">
        <f t="shared" si="19"/>
        <v>2.01</v>
      </c>
    </row>
    <row r="404" spans="1:7" s="330" customFormat="1" ht="18">
      <c r="A404" s="333"/>
      <c r="B404" s="334"/>
      <c r="C404" s="335"/>
      <c r="D404" s="336"/>
      <c r="E404" s="337" t="s">
        <v>5</v>
      </c>
      <c r="F404" s="338"/>
      <c r="G404" s="339">
        <f>TRUNC(SUM(G399:G403),2)</f>
        <v>59.62</v>
      </c>
    </row>
    <row r="405" spans="1:8" s="329" customFormat="1" ht="72">
      <c r="A405" s="326" t="s">
        <v>909</v>
      </c>
      <c r="B405" s="326" t="s">
        <v>912</v>
      </c>
      <c r="C405" s="73" t="s">
        <v>913</v>
      </c>
      <c r="D405" s="325" t="s">
        <v>47</v>
      </c>
      <c r="E405" s="325">
        <v>242.92</v>
      </c>
      <c r="F405" s="327">
        <f>TRUNC(F406,2)</f>
        <v>23.74</v>
      </c>
      <c r="G405" s="328">
        <f>TRUNC((E405*F405),2)</f>
        <v>5766.92</v>
      </c>
      <c r="H405" s="21"/>
    </row>
    <row r="406" spans="1:7" s="330" customFormat="1" ht="72">
      <c r="A406" s="333"/>
      <c r="B406" s="334" t="s">
        <v>912</v>
      </c>
      <c r="C406" s="335" t="s">
        <v>913</v>
      </c>
      <c r="D406" s="336" t="s">
        <v>47</v>
      </c>
      <c r="E406" s="337">
        <v>1</v>
      </c>
      <c r="F406" s="338">
        <f>G411</f>
        <v>23.74</v>
      </c>
      <c r="G406" s="339">
        <f>TRUNC(E406*F406,2)</f>
        <v>23.74</v>
      </c>
    </row>
    <row r="407" spans="1:7" s="330" customFormat="1" ht="36">
      <c r="A407" s="333"/>
      <c r="B407" s="334" t="s">
        <v>43</v>
      </c>
      <c r="C407" s="335" t="s">
        <v>44</v>
      </c>
      <c r="D407" s="336" t="s">
        <v>7</v>
      </c>
      <c r="E407" s="337">
        <v>0.41200000000000003</v>
      </c>
      <c r="F407" s="338">
        <f>TRUNC(12.54,2)</f>
        <v>12.54</v>
      </c>
      <c r="G407" s="339">
        <f>TRUNC(E407*F407,2)</f>
        <v>5.16</v>
      </c>
    </row>
    <row r="408" spans="1:7" s="330" customFormat="1" ht="36">
      <c r="A408" s="333"/>
      <c r="B408" s="334" t="s">
        <v>46</v>
      </c>
      <c r="C408" s="335" t="s">
        <v>458</v>
      </c>
      <c r="D408" s="336" t="s">
        <v>7</v>
      </c>
      <c r="E408" s="337">
        <v>0.41200000000000003</v>
      </c>
      <c r="F408" s="338">
        <f>TRUNC(17.3,2)</f>
        <v>17.3</v>
      </c>
      <c r="G408" s="339">
        <f>TRUNC(E408*F408,2)</f>
        <v>7.12</v>
      </c>
    </row>
    <row r="409" spans="1:7" s="330" customFormat="1" ht="36">
      <c r="A409" s="333"/>
      <c r="B409" s="334" t="s">
        <v>914</v>
      </c>
      <c r="C409" s="335" t="s">
        <v>915</v>
      </c>
      <c r="D409" s="336" t="s">
        <v>47</v>
      </c>
      <c r="E409" s="337">
        <v>1</v>
      </c>
      <c r="F409" s="338">
        <f>TRUNC(4.4004,2)</f>
        <v>4.4</v>
      </c>
      <c r="G409" s="339">
        <f>TRUNC(E409*F409,2)</f>
        <v>4.4</v>
      </c>
    </row>
    <row r="410" spans="1:7" s="330" customFormat="1" ht="36">
      <c r="A410" s="333"/>
      <c r="B410" s="334" t="s">
        <v>916</v>
      </c>
      <c r="C410" s="335" t="s">
        <v>917</v>
      </c>
      <c r="D410" s="336" t="s">
        <v>42</v>
      </c>
      <c r="E410" s="337">
        <v>0.03</v>
      </c>
      <c r="F410" s="338">
        <f>TRUNC(235.6635,2)</f>
        <v>235.66</v>
      </c>
      <c r="G410" s="339">
        <f>TRUNC(E410*F410,2)</f>
        <v>7.06</v>
      </c>
    </row>
    <row r="411" spans="1:7" s="330" customFormat="1" ht="18">
      <c r="A411" s="333"/>
      <c r="B411" s="334"/>
      <c r="C411" s="335"/>
      <c r="D411" s="336"/>
      <c r="E411" s="337" t="s">
        <v>5</v>
      </c>
      <c r="F411" s="338"/>
      <c r="G411" s="339">
        <f>TRUNC(SUM(G407:G410),2)</f>
        <v>23.74</v>
      </c>
    </row>
    <row r="412" spans="1:8" s="329" customFormat="1" ht="54">
      <c r="A412" s="326" t="s">
        <v>1020</v>
      </c>
      <c r="B412" s="326" t="s">
        <v>1021</v>
      </c>
      <c r="C412" s="73" t="s">
        <v>1022</v>
      </c>
      <c r="D412" s="325" t="s">
        <v>47</v>
      </c>
      <c r="E412" s="325">
        <v>602.27</v>
      </c>
      <c r="F412" s="327">
        <f>TRUNC(F413,2)</f>
        <v>9.79</v>
      </c>
      <c r="G412" s="328">
        <f>TRUNC((E412*F412),2)</f>
        <v>5896.22</v>
      </c>
      <c r="H412" s="21"/>
    </row>
    <row r="413" spans="1:7" s="330" customFormat="1" ht="54">
      <c r="A413" s="333"/>
      <c r="B413" s="334" t="s">
        <v>1021</v>
      </c>
      <c r="C413" s="335" t="s">
        <v>1022</v>
      </c>
      <c r="D413" s="336" t="s">
        <v>47</v>
      </c>
      <c r="E413" s="337">
        <v>1</v>
      </c>
      <c r="F413" s="338">
        <f>TRUNC(9.79944,2)</f>
        <v>9.79</v>
      </c>
      <c r="G413" s="339">
        <f>TRUNC(E413*F413,2)</f>
        <v>9.79</v>
      </c>
    </row>
    <row r="414" spans="1:7" s="330" customFormat="1" ht="36">
      <c r="A414" s="333"/>
      <c r="B414" s="334" t="s">
        <v>1023</v>
      </c>
      <c r="C414" s="335" t="s">
        <v>1024</v>
      </c>
      <c r="D414" s="336" t="s">
        <v>47</v>
      </c>
      <c r="E414" s="337">
        <v>1.596</v>
      </c>
      <c r="F414" s="338">
        <f>TRUNC(6.14,2)</f>
        <v>6.14</v>
      </c>
      <c r="G414" s="339">
        <f>TRUNC(E414*F414,2)</f>
        <v>9.79</v>
      </c>
    </row>
    <row r="415" spans="1:7" s="330" customFormat="1" ht="18">
      <c r="A415" s="333"/>
      <c r="B415" s="334"/>
      <c r="C415" s="335"/>
      <c r="D415" s="336"/>
      <c r="E415" s="337" t="s">
        <v>5</v>
      </c>
      <c r="F415" s="338"/>
      <c r="G415" s="339">
        <f>TRUNC(SUM(G414:G414),2)</f>
        <v>9.79</v>
      </c>
    </row>
    <row r="416" spans="1:7" ht="18.75">
      <c r="A416" s="90"/>
      <c r="B416" s="118"/>
      <c r="C416" s="119"/>
      <c r="D416" s="91"/>
      <c r="E416" s="529" t="s">
        <v>63</v>
      </c>
      <c r="F416" s="529"/>
      <c r="G416" s="126">
        <f>G201+G233+G237+G244+G250+G273+G296+G319+G328+G349+G364+G370+G377+G389+G393+G397+G405+G412</f>
        <v>154570.28000000003</v>
      </c>
    </row>
    <row r="417" spans="1:7" ht="18.75">
      <c r="A417" s="84" t="s">
        <v>68</v>
      </c>
      <c r="B417" s="84"/>
      <c r="C417" s="85" t="s">
        <v>144</v>
      </c>
      <c r="D417" s="86"/>
      <c r="E417" s="87"/>
      <c r="F417" s="88"/>
      <c r="G417" s="89"/>
    </row>
    <row r="418" spans="1:7" ht="90">
      <c r="A418" s="109" t="s">
        <v>70</v>
      </c>
      <c r="B418" s="179" t="s">
        <v>145</v>
      </c>
      <c r="C418" s="63" t="s">
        <v>376</v>
      </c>
      <c r="D418" s="64" t="s">
        <v>0</v>
      </c>
      <c r="E418" s="111">
        <v>1</v>
      </c>
      <c r="F418" s="66">
        <f>TRUNC(F419,2)</f>
        <v>2210.67</v>
      </c>
      <c r="G418" s="67">
        <f>TRUNC((E418*F418),2)</f>
        <v>2210.67</v>
      </c>
    </row>
    <row r="419" spans="1:7" ht="108">
      <c r="A419" s="95"/>
      <c r="B419" s="167" t="s">
        <v>145</v>
      </c>
      <c r="C419" s="42" t="s">
        <v>342</v>
      </c>
      <c r="D419" s="43" t="s">
        <v>0</v>
      </c>
      <c r="E419" s="97">
        <v>1</v>
      </c>
      <c r="F419" s="45">
        <f>G444</f>
        <v>2210.677855</v>
      </c>
      <c r="G419" s="46">
        <f aca="true" t="shared" si="20" ref="G419:G443">E419*F419</f>
        <v>2210.677855</v>
      </c>
    </row>
    <row r="420" spans="1:7" ht="18.75">
      <c r="A420" s="99"/>
      <c r="B420" s="168" t="s">
        <v>146</v>
      </c>
      <c r="C420" s="49" t="s">
        <v>803</v>
      </c>
      <c r="D420" s="50" t="s">
        <v>0</v>
      </c>
      <c r="E420" s="101">
        <v>1</v>
      </c>
      <c r="F420" s="52">
        <v>0.71</v>
      </c>
      <c r="G420" s="53">
        <f t="shared" si="20"/>
        <v>0.71</v>
      </c>
    </row>
    <row r="421" spans="1:7" ht="36">
      <c r="A421" s="99"/>
      <c r="B421" s="168" t="s">
        <v>147</v>
      </c>
      <c r="C421" s="49" t="s">
        <v>554</v>
      </c>
      <c r="D421" s="50" t="s">
        <v>52</v>
      </c>
      <c r="E421" s="101">
        <v>0.2</v>
      </c>
      <c r="F421" s="52">
        <v>38.843</v>
      </c>
      <c r="G421" s="53">
        <f t="shared" si="20"/>
        <v>7.768600000000001</v>
      </c>
    </row>
    <row r="422" spans="1:7" ht="54">
      <c r="A422" s="99"/>
      <c r="B422" s="168" t="s">
        <v>148</v>
      </c>
      <c r="C422" s="152" t="s">
        <v>555</v>
      </c>
      <c r="D422" s="50" t="s">
        <v>0</v>
      </c>
      <c r="E422" s="101">
        <v>1</v>
      </c>
      <c r="F422" s="52">
        <v>322.4</v>
      </c>
      <c r="G422" s="53">
        <f t="shared" si="20"/>
        <v>322.4</v>
      </c>
    </row>
    <row r="423" spans="1:7" ht="36">
      <c r="A423" s="99"/>
      <c r="B423" s="168" t="s">
        <v>149</v>
      </c>
      <c r="C423" s="49" t="s">
        <v>804</v>
      </c>
      <c r="D423" s="50" t="s">
        <v>0</v>
      </c>
      <c r="E423" s="101">
        <v>1</v>
      </c>
      <c r="F423" s="52">
        <v>4.14</v>
      </c>
      <c r="G423" s="53">
        <f t="shared" si="20"/>
        <v>4.14</v>
      </c>
    </row>
    <row r="424" spans="1:7" ht="36">
      <c r="A424" s="99"/>
      <c r="B424" s="168" t="s">
        <v>150</v>
      </c>
      <c r="C424" s="49" t="s">
        <v>805</v>
      </c>
      <c r="D424" s="50" t="s">
        <v>0</v>
      </c>
      <c r="E424" s="101">
        <v>1</v>
      </c>
      <c r="F424" s="52">
        <v>8.22</v>
      </c>
      <c r="G424" s="53">
        <f t="shared" si="20"/>
        <v>8.22</v>
      </c>
    </row>
    <row r="425" spans="1:7" ht="36">
      <c r="A425" s="99"/>
      <c r="B425" s="168" t="s">
        <v>151</v>
      </c>
      <c r="C425" s="49" t="s">
        <v>806</v>
      </c>
      <c r="D425" s="50" t="s">
        <v>0</v>
      </c>
      <c r="E425" s="101">
        <v>2</v>
      </c>
      <c r="F425" s="52">
        <v>2.38</v>
      </c>
      <c r="G425" s="53">
        <f t="shared" si="20"/>
        <v>4.76</v>
      </c>
    </row>
    <row r="426" spans="1:7" ht="18.75">
      <c r="A426" s="99"/>
      <c r="B426" s="168" t="s">
        <v>152</v>
      </c>
      <c r="C426" s="49" t="s">
        <v>807</v>
      </c>
      <c r="D426" s="50" t="s">
        <v>0</v>
      </c>
      <c r="E426" s="101">
        <v>2</v>
      </c>
      <c r="F426" s="52">
        <v>1.01</v>
      </c>
      <c r="G426" s="53">
        <f t="shared" si="20"/>
        <v>2.02</v>
      </c>
    </row>
    <row r="427" spans="1:7" ht="36">
      <c r="A427" s="99"/>
      <c r="B427" s="168" t="s">
        <v>153</v>
      </c>
      <c r="C427" s="49" t="s">
        <v>808</v>
      </c>
      <c r="D427" s="50"/>
      <c r="E427" s="101">
        <v>2</v>
      </c>
      <c r="F427" s="52">
        <v>21.03</v>
      </c>
      <c r="G427" s="53">
        <f t="shared" si="20"/>
        <v>42.06</v>
      </c>
    </row>
    <row r="428" spans="1:7" ht="18.75">
      <c r="A428" s="99"/>
      <c r="B428" s="168" t="s">
        <v>154</v>
      </c>
      <c r="C428" s="49" t="s">
        <v>556</v>
      </c>
      <c r="D428" s="50" t="s">
        <v>0</v>
      </c>
      <c r="E428" s="101">
        <v>1</v>
      </c>
      <c r="F428" s="52">
        <v>22.18</v>
      </c>
      <c r="G428" s="53">
        <f t="shared" si="20"/>
        <v>22.18</v>
      </c>
    </row>
    <row r="429" spans="1:7" ht="18.75">
      <c r="A429" s="99"/>
      <c r="B429" s="168" t="s">
        <v>155</v>
      </c>
      <c r="C429" s="49" t="s">
        <v>557</v>
      </c>
      <c r="D429" s="50" t="s">
        <v>0</v>
      </c>
      <c r="E429" s="101">
        <v>1</v>
      </c>
      <c r="F429" s="52">
        <v>30.45</v>
      </c>
      <c r="G429" s="53">
        <f t="shared" si="20"/>
        <v>30.45</v>
      </c>
    </row>
    <row r="430" spans="1:7" ht="18.75">
      <c r="A430" s="99"/>
      <c r="B430" s="168" t="s">
        <v>129</v>
      </c>
      <c r="C430" s="49" t="s">
        <v>519</v>
      </c>
      <c r="D430" s="50" t="s">
        <v>0</v>
      </c>
      <c r="E430" s="101">
        <v>4</v>
      </c>
      <c r="F430" s="52">
        <v>3.53</v>
      </c>
      <c r="G430" s="53">
        <f t="shared" si="20"/>
        <v>14.12</v>
      </c>
    </row>
    <row r="431" spans="1:7" ht="18.75">
      <c r="A431" s="99"/>
      <c r="B431" s="168" t="s">
        <v>156</v>
      </c>
      <c r="C431" s="49" t="s">
        <v>809</v>
      </c>
      <c r="D431" s="50" t="s">
        <v>0</v>
      </c>
      <c r="E431" s="101">
        <v>2</v>
      </c>
      <c r="F431" s="52">
        <v>1.34</v>
      </c>
      <c r="G431" s="53">
        <f t="shared" si="20"/>
        <v>2.68</v>
      </c>
    </row>
    <row r="432" spans="1:7" ht="18.75">
      <c r="A432" s="99"/>
      <c r="B432" s="168" t="s">
        <v>157</v>
      </c>
      <c r="C432" s="49" t="s">
        <v>810</v>
      </c>
      <c r="D432" s="50"/>
      <c r="E432" s="101">
        <v>1</v>
      </c>
      <c r="F432" s="52">
        <v>12.35</v>
      </c>
      <c r="G432" s="53">
        <f t="shared" si="20"/>
        <v>12.35</v>
      </c>
    </row>
    <row r="433" spans="1:7" ht="36">
      <c r="A433" s="99"/>
      <c r="B433" s="168" t="s">
        <v>158</v>
      </c>
      <c r="C433" s="49" t="s">
        <v>558</v>
      </c>
      <c r="D433" s="50" t="s">
        <v>0</v>
      </c>
      <c r="E433" s="101">
        <v>1</v>
      </c>
      <c r="F433" s="52">
        <v>16.25</v>
      </c>
      <c r="G433" s="53">
        <f t="shared" si="20"/>
        <v>16.25</v>
      </c>
    </row>
    <row r="434" spans="1:7" ht="36">
      <c r="A434" s="99"/>
      <c r="B434" s="168" t="s">
        <v>159</v>
      </c>
      <c r="C434" s="49" t="s">
        <v>559</v>
      </c>
      <c r="D434" s="50" t="s">
        <v>0</v>
      </c>
      <c r="E434" s="101">
        <v>1</v>
      </c>
      <c r="F434" s="52">
        <v>50.47</v>
      </c>
      <c r="G434" s="53">
        <f t="shared" si="20"/>
        <v>50.47</v>
      </c>
    </row>
    <row r="435" spans="1:7" ht="36">
      <c r="A435" s="99"/>
      <c r="B435" s="168" t="s">
        <v>160</v>
      </c>
      <c r="C435" s="49" t="s">
        <v>560</v>
      </c>
      <c r="D435" s="50" t="s">
        <v>0</v>
      </c>
      <c r="E435" s="101">
        <v>1</v>
      </c>
      <c r="F435" s="52">
        <v>71.07</v>
      </c>
      <c r="G435" s="53">
        <f t="shared" si="20"/>
        <v>71.07</v>
      </c>
    </row>
    <row r="436" spans="1:7" ht="36">
      <c r="A436" s="99"/>
      <c r="B436" s="168" t="s">
        <v>161</v>
      </c>
      <c r="C436" s="49" t="s">
        <v>561</v>
      </c>
      <c r="D436" s="50" t="s">
        <v>0</v>
      </c>
      <c r="E436" s="101">
        <v>1</v>
      </c>
      <c r="F436" s="52">
        <v>40.66</v>
      </c>
      <c r="G436" s="53">
        <f t="shared" si="20"/>
        <v>40.66</v>
      </c>
    </row>
    <row r="437" spans="1:7" ht="36">
      <c r="A437" s="99"/>
      <c r="B437" s="168" t="s">
        <v>162</v>
      </c>
      <c r="C437" s="49" t="s">
        <v>562</v>
      </c>
      <c r="D437" s="50" t="s">
        <v>0</v>
      </c>
      <c r="E437" s="101">
        <v>1</v>
      </c>
      <c r="F437" s="52">
        <v>231.03</v>
      </c>
      <c r="G437" s="53">
        <f t="shared" si="20"/>
        <v>231.03</v>
      </c>
    </row>
    <row r="438" spans="1:7" ht="36">
      <c r="A438" s="99"/>
      <c r="B438" s="168" t="s">
        <v>104</v>
      </c>
      <c r="C438" s="49" t="s">
        <v>509</v>
      </c>
      <c r="D438" s="50" t="s">
        <v>7</v>
      </c>
      <c r="E438" s="101">
        <v>22.66</v>
      </c>
      <c r="F438" s="52">
        <v>17.3</v>
      </c>
      <c r="G438" s="53">
        <f t="shared" si="20"/>
        <v>392.01800000000003</v>
      </c>
    </row>
    <row r="439" spans="1:7" ht="36">
      <c r="A439" s="99"/>
      <c r="B439" s="168" t="s">
        <v>43</v>
      </c>
      <c r="C439" s="49" t="s">
        <v>44</v>
      </c>
      <c r="D439" s="50" t="s">
        <v>7</v>
      </c>
      <c r="E439" s="101">
        <v>22.66</v>
      </c>
      <c r="F439" s="52">
        <v>12.54</v>
      </c>
      <c r="G439" s="53">
        <f t="shared" si="20"/>
        <v>284.15639999999996</v>
      </c>
    </row>
    <row r="440" spans="1:7" ht="18.75">
      <c r="A440" s="99"/>
      <c r="B440" s="168" t="s">
        <v>163</v>
      </c>
      <c r="C440" s="49" t="s">
        <v>563</v>
      </c>
      <c r="D440" s="50" t="s">
        <v>58</v>
      </c>
      <c r="E440" s="101">
        <v>400</v>
      </c>
      <c r="F440" s="52">
        <v>1.0477</v>
      </c>
      <c r="G440" s="53">
        <f t="shared" si="20"/>
        <v>419.08000000000004</v>
      </c>
    </row>
    <row r="441" spans="1:7" ht="36">
      <c r="A441" s="99"/>
      <c r="B441" s="168" t="s">
        <v>119</v>
      </c>
      <c r="C441" s="49" t="s">
        <v>517</v>
      </c>
      <c r="D441" s="50" t="s">
        <v>42</v>
      </c>
      <c r="E441" s="101">
        <v>0.13</v>
      </c>
      <c r="F441" s="52">
        <v>265.3836</v>
      </c>
      <c r="G441" s="53">
        <f t="shared" si="20"/>
        <v>34.499868</v>
      </c>
    </row>
    <row r="442" spans="1:7" ht="18.75">
      <c r="A442" s="99"/>
      <c r="B442" s="168" t="s">
        <v>164</v>
      </c>
      <c r="C442" s="49" t="s">
        <v>564</v>
      </c>
      <c r="D442" s="50" t="s">
        <v>42</v>
      </c>
      <c r="E442" s="101">
        <v>0.07</v>
      </c>
      <c r="F442" s="52">
        <v>1753.5151</v>
      </c>
      <c r="G442" s="53">
        <f t="shared" si="20"/>
        <v>122.74605700000002</v>
      </c>
    </row>
    <row r="443" spans="1:7" ht="18.75">
      <c r="A443" s="99"/>
      <c r="B443" s="168" t="s">
        <v>165</v>
      </c>
      <c r="C443" s="49" t="s">
        <v>565</v>
      </c>
      <c r="D443" s="50" t="s">
        <v>47</v>
      </c>
      <c r="E443" s="101">
        <v>1.7</v>
      </c>
      <c r="F443" s="52">
        <v>44.0229</v>
      </c>
      <c r="G443" s="53">
        <f t="shared" si="20"/>
        <v>74.83893</v>
      </c>
    </row>
    <row r="444" spans="1:7" ht="18.75">
      <c r="A444" s="99"/>
      <c r="B444" s="168"/>
      <c r="C444" s="49"/>
      <c r="D444" s="50"/>
      <c r="E444" s="101" t="s">
        <v>5</v>
      </c>
      <c r="F444" s="52"/>
      <c r="G444" s="53">
        <f>SUM(G420:G443)</f>
        <v>2210.677855</v>
      </c>
    </row>
    <row r="445" spans="1:7" ht="18.75">
      <c r="A445" s="105" t="s">
        <v>71</v>
      </c>
      <c r="B445" s="180" t="s">
        <v>569</v>
      </c>
      <c r="C445" s="73" t="s">
        <v>363</v>
      </c>
      <c r="D445" s="74" t="s">
        <v>0</v>
      </c>
      <c r="E445" s="107">
        <v>1</v>
      </c>
      <c r="F445" s="76">
        <f>TRUNC(F446,2)</f>
        <v>85.11</v>
      </c>
      <c r="G445" s="77">
        <f>TRUNC((E445*F445),2)</f>
        <v>85.11</v>
      </c>
    </row>
    <row r="446" spans="1:7" ht="36">
      <c r="A446" s="95"/>
      <c r="B446" s="167" t="s">
        <v>566</v>
      </c>
      <c r="C446" s="42" t="s">
        <v>567</v>
      </c>
      <c r="D446" s="43" t="s">
        <v>0</v>
      </c>
      <c r="E446" s="108">
        <v>1</v>
      </c>
      <c r="F446" s="45">
        <f>G450</f>
        <v>85.11</v>
      </c>
      <c r="G446" s="46">
        <f>TRUNC(E446*F446,2)</f>
        <v>85.11</v>
      </c>
    </row>
    <row r="447" spans="1:7" ht="18.75">
      <c r="A447" s="99"/>
      <c r="B447" s="168" t="s">
        <v>172</v>
      </c>
      <c r="C447" s="49" t="s">
        <v>568</v>
      </c>
      <c r="D447" s="50" t="s">
        <v>0</v>
      </c>
      <c r="E447" s="153">
        <v>1</v>
      </c>
      <c r="F447" s="52">
        <f>TRUNC(63.6,2)</f>
        <v>63.6</v>
      </c>
      <c r="G447" s="53">
        <f>TRUNC(E447*F447,2)</f>
        <v>63.6</v>
      </c>
    </row>
    <row r="448" spans="1:7" ht="36">
      <c r="A448" s="99"/>
      <c r="B448" s="168" t="s">
        <v>43</v>
      </c>
      <c r="C448" s="49" t="s">
        <v>44</v>
      </c>
      <c r="D448" s="50" t="s">
        <v>7</v>
      </c>
      <c r="E448" s="153">
        <v>0.721</v>
      </c>
      <c r="F448" s="52">
        <f>TRUNC(12.54,2)</f>
        <v>12.54</v>
      </c>
      <c r="G448" s="53">
        <f>TRUNC(E448*F448,2)</f>
        <v>9.04</v>
      </c>
    </row>
    <row r="449" spans="1:7" ht="36">
      <c r="A449" s="99"/>
      <c r="B449" s="168" t="s">
        <v>46</v>
      </c>
      <c r="C449" s="49" t="s">
        <v>458</v>
      </c>
      <c r="D449" s="50" t="s">
        <v>7</v>
      </c>
      <c r="E449" s="153">
        <v>0.721</v>
      </c>
      <c r="F449" s="52">
        <f>TRUNC(17.3,2)</f>
        <v>17.3</v>
      </c>
      <c r="G449" s="53">
        <f>TRUNC(E449*F449,2)</f>
        <v>12.47</v>
      </c>
    </row>
    <row r="450" spans="1:7" ht="18.75">
      <c r="A450" s="99"/>
      <c r="B450" s="168"/>
      <c r="C450" s="49"/>
      <c r="D450" s="50"/>
      <c r="E450" s="153" t="s">
        <v>5</v>
      </c>
      <c r="F450" s="52"/>
      <c r="G450" s="53">
        <f>TRUNC(SUM(G447:G449),2)</f>
        <v>85.11</v>
      </c>
    </row>
    <row r="451" spans="1:7" ht="36">
      <c r="A451" s="92" t="s">
        <v>72</v>
      </c>
      <c r="B451" s="166" t="s">
        <v>173</v>
      </c>
      <c r="C451" s="35" t="s">
        <v>377</v>
      </c>
      <c r="D451" s="36" t="s">
        <v>0</v>
      </c>
      <c r="E451" s="94">
        <v>1</v>
      </c>
      <c r="F451" s="38">
        <f>TRUNC(F452,2)</f>
        <v>133.24</v>
      </c>
      <c r="G451" s="69">
        <f>TRUNC((E451*F451),2)</f>
        <v>133.24</v>
      </c>
    </row>
    <row r="452" spans="1:7" ht="54">
      <c r="A452" s="95"/>
      <c r="B452" s="167" t="s">
        <v>173</v>
      </c>
      <c r="C452" s="42" t="s">
        <v>811</v>
      </c>
      <c r="D452" s="43" t="s">
        <v>0</v>
      </c>
      <c r="E452" s="108">
        <v>1</v>
      </c>
      <c r="F452" s="45">
        <f>G457</f>
        <v>133.24</v>
      </c>
      <c r="G452" s="46">
        <f>TRUNC(E452*F452,2)</f>
        <v>133.24</v>
      </c>
    </row>
    <row r="453" spans="1:7" ht="18.75">
      <c r="A453" s="99"/>
      <c r="B453" s="168" t="s">
        <v>174</v>
      </c>
      <c r="C453" s="49" t="s">
        <v>812</v>
      </c>
      <c r="D453" s="50" t="s">
        <v>0</v>
      </c>
      <c r="E453" s="153">
        <v>1</v>
      </c>
      <c r="F453" s="52">
        <f>TRUNC(29.7,2)</f>
        <v>29.7</v>
      </c>
      <c r="G453" s="53">
        <f>TRUNC(E453*F453,2)</f>
        <v>29.7</v>
      </c>
    </row>
    <row r="454" spans="1:7" ht="36">
      <c r="A454" s="99"/>
      <c r="B454" s="168" t="s">
        <v>43</v>
      </c>
      <c r="C454" s="49" t="s">
        <v>44</v>
      </c>
      <c r="D454" s="50" t="s">
        <v>7</v>
      </c>
      <c r="E454" s="153">
        <v>2.06</v>
      </c>
      <c r="F454" s="52">
        <f>TRUNC(12.54,2)</f>
        <v>12.54</v>
      </c>
      <c r="G454" s="53">
        <f>TRUNC(E454*F454,2)</f>
        <v>25.83</v>
      </c>
    </row>
    <row r="455" spans="1:7" ht="36">
      <c r="A455" s="99"/>
      <c r="B455" s="168" t="s">
        <v>104</v>
      </c>
      <c r="C455" s="49" t="s">
        <v>509</v>
      </c>
      <c r="D455" s="50" t="s">
        <v>7</v>
      </c>
      <c r="E455" s="153">
        <v>2.06</v>
      </c>
      <c r="F455" s="52">
        <f>TRUNC(17.3,2)</f>
        <v>17.3</v>
      </c>
      <c r="G455" s="53">
        <f>TRUNC(E455*F455,2)</f>
        <v>35.63</v>
      </c>
    </row>
    <row r="456" spans="1:7" ht="18.75">
      <c r="A456" s="99"/>
      <c r="B456" s="168" t="s">
        <v>164</v>
      </c>
      <c r="C456" s="49" t="s">
        <v>564</v>
      </c>
      <c r="D456" s="50" t="s">
        <v>42</v>
      </c>
      <c r="E456" s="153">
        <v>0.024</v>
      </c>
      <c r="F456" s="52">
        <f>TRUNC(1753.5151,2)</f>
        <v>1753.51</v>
      </c>
      <c r="G456" s="53">
        <f>TRUNC(E456*F456,2)</f>
        <v>42.08</v>
      </c>
    </row>
    <row r="457" spans="1:7" ht="18.75">
      <c r="A457" s="99"/>
      <c r="B457" s="168"/>
      <c r="C457" s="49"/>
      <c r="D457" s="50"/>
      <c r="E457" s="153" t="s">
        <v>5</v>
      </c>
      <c r="F457" s="52"/>
      <c r="G457" s="53">
        <f>TRUNC(SUM(G453:G456),2)</f>
        <v>133.24</v>
      </c>
    </row>
    <row r="458" spans="1:7" ht="54">
      <c r="A458" s="92" t="s">
        <v>227</v>
      </c>
      <c r="B458" s="166" t="s">
        <v>237</v>
      </c>
      <c r="C458" s="35" t="s">
        <v>343</v>
      </c>
      <c r="D458" s="36" t="s">
        <v>64</v>
      </c>
      <c r="E458" s="94">
        <v>120</v>
      </c>
      <c r="F458" s="38">
        <f>TRUNC(F459,2)</f>
        <v>5.26</v>
      </c>
      <c r="G458" s="69">
        <f>TRUNC((E458*F458),2)</f>
        <v>631.2</v>
      </c>
    </row>
    <row r="459" spans="1:7" ht="72">
      <c r="A459" s="95"/>
      <c r="B459" s="167" t="s">
        <v>237</v>
      </c>
      <c r="C459" s="42" t="s">
        <v>813</v>
      </c>
      <c r="D459" s="43" t="s">
        <v>64</v>
      </c>
      <c r="E459" s="97">
        <v>1</v>
      </c>
      <c r="F459" s="45">
        <f>G463</f>
        <v>5.26</v>
      </c>
      <c r="G459" s="46">
        <f>TRUNC(E459*F459,2)</f>
        <v>5.26</v>
      </c>
    </row>
    <row r="460" spans="1:7" ht="36">
      <c r="A460" s="99"/>
      <c r="B460" s="168" t="s">
        <v>149</v>
      </c>
      <c r="C460" s="49" t="s">
        <v>804</v>
      </c>
      <c r="D460" s="50" t="s">
        <v>0</v>
      </c>
      <c r="E460" s="101">
        <v>0.385</v>
      </c>
      <c r="F460" s="52">
        <f>TRUNC(4.14,2)</f>
        <v>4.14</v>
      </c>
      <c r="G460" s="53">
        <f>TRUNC(E460*F460,2)</f>
        <v>1.59</v>
      </c>
    </row>
    <row r="461" spans="1:7" ht="36">
      <c r="A461" s="99"/>
      <c r="B461" s="168" t="s">
        <v>43</v>
      </c>
      <c r="C461" s="49" t="s">
        <v>44</v>
      </c>
      <c r="D461" s="50" t="s">
        <v>7</v>
      </c>
      <c r="E461" s="101">
        <v>0.1236</v>
      </c>
      <c r="F461" s="52">
        <f>TRUNC(12.54,2)</f>
        <v>12.54</v>
      </c>
      <c r="G461" s="53">
        <f>TRUNC(E461*F461,2)</f>
        <v>1.54</v>
      </c>
    </row>
    <row r="462" spans="1:7" ht="36">
      <c r="A462" s="99"/>
      <c r="B462" s="168" t="s">
        <v>104</v>
      </c>
      <c r="C462" s="49" t="s">
        <v>509</v>
      </c>
      <c r="D462" s="50" t="s">
        <v>7</v>
      </c>
      <c r="E462" s="101">
        <v>0.1236</v>
      </c>
      <c r="F462" s="52">
        <f>TRUNC(17.3,2)</f>
        <v>17.3</v>
      </c>
      <c r="G462" s="53">
        <f>TRUNC(E462*F462,2)</f>
        <v>2.13</v>
      </c>
    </row>
    <row r="463" spans="1:7" ht="18.75">
      <c r="A463" s="99"/>
      <c r="B463" s="168"/>
      <c r="C463" s="49"/>
      <c r="D463" s="50"/>
      <c r="E463" s="101" t="s">
        <v>5</v>
      </c>
      <c r="F463" s="52"/>
      <c r="G463" s="53">
        <f>TRUNC(SUM(G460:G462),2)</f>
        <v>5.26</v>
      </c>
    </row>
    <row r="464" spans="1:7" ht="54">
      <c r="A464" s="109" t="s">
        <v>228</v>
      </c>
      <c r="B464" s="179" t="s">
        <v>239</v>
      </c>
      <c r="C464" s="63" t="s">
        <v>344</v>
      </c>
      <c r="D464" s="64" t="s">
        <v>64</v>
      </c>
      <c r="E464" s="111">
        <v>110</v>
      </c>
      <c r="F464" s="66">
        <f>TRUNC(F465,2)</f>
        <v>2.4</v>
      </c>
      <c r="G464" s="68">
        <f>TRUNC((E464*F464),2)</f>
        <v>264</v>
      </c>
    </row>
    <row r="465" spans="1:7" ht="72">
      <c r="A465" s="95"/>
      <c r="B465" s="167" t="s">
        <v>239</v>
      </c>
      <c r="C465" s="42" t="s">
        <v>570</v>
      </c>
      <c r="D465" s="43" t="s">
        <v>64</v>
      </c>
      <c r="E465" s="97">
        <v>1</v>
      </c>
      <c r="F465" s="45">
        <f>G470</f>
        <v>2.4</v>
      </c>
      <c r="G465" s="46">
        <f>TRUNC(E465*F465,2)</f>
        <v>2.4</v>
      </c>
    </row>
    <row r="466" spans="1:7" ht="18.75">
      <c r="A466" s="99"/>
      <c r="B466" s="168" t="s">
        <v>240</v>
      </c>
      <c r="C466" s="49" t="s">
        <v>571</v>
      </c>
      <c r="D466" s="50" t="s">
        <v>64</v>
      </c>
      <c r="E466" s="101">
        <v>1</v>
      </c>
      <c r="F466" s="52">
        <f>TRUNC(0.8663,2)</f>
        <v>0.86</v>
      </c>
      <c r="G466" s="53">
        <f>TRUNC(E466*F466,2)</f>
        <v>0.86</v>
      </c>
    </row>
    <row r="467" spans="1:7" ht="18.75">
      <c r="A467" s="99"/>
      <c r="B467" s="168" t="s">
        <v>98</v>
      </c>
      <c r="C467" s="49" t="s">
        <v>508</v>
      </c>
      <c r="D467" s="50" t="s">
        <v>0</v>
      </c>
      <c r="E467" s="101">
        <v>0.0014</v>
      </c>
      <c r="F467" s="52">
        <f>TRUNC(8.56,2)</f>
        <v>8.56</v>
      </c>
      <c r="G467" s="53">
        <f>TRUNC(E467*F467,2)</f>
        <v>0.01</v>
      </c>
    </row>
    <row r="468" spans="1:7" ht="36">
      <c r="A468" s="99"/>
      <c r="B468" s="168" t="s">
        <v>43</v>
      </c>
      <c r="C468" s="49" t="s">
        <v>44</v>
      </c>
      <c r="D468" s="50" t="s">
        <v>7</v>
      </c>
      <c r="E468" s="101">
        <v>0.051500000000000004</v>
      </c>
      <c r="F468" s="52">
        <f>TRUNC(12.54,2)</f>
        <v>12.54</v>
      </c>
      <c r="G468" s="53">
        <f>TRUNC(E468*F468,2)</f>
        <v>0.64</v>
      </c>
    </row>
    <row r="469" spans="1:7" ht="36">
      <c r="A469" s="99"/>
      <c r="B469" s="168" t="s">
        <v>104</v>
      </c>
      <c r="C469" s="49" t="s">
        <v>509</v>
      </c>
      <c r="D469" s="50" t="s">
        <v>7</v>
      </c>
      <c r="E469" s="101">
        <v>0.051500000000000004</v>
      </c>
      <c r="F469" s="52">
        <f>TRUNC(17.3,2)</f>
        <v>17.3</v>
      </c>
      <c r="G469" s="53">
        <f>TRUNC(E469*F469,2)</f>
        <v>0.89</v>
      </c>
    </row>
    <row r="470" spans="1:7" ht="18.75">
      <c r="A470" s="99"/>
      <c r="B470" s="168"/>
      <c r="C470" s="49"/>
      <c r="D470" s="50"/>
      <c r="E470" s="101" t="s">
        <v>5</v>
      </c>
      <c r="F470" s="52"/>
      <c r="G470" s="53">
        <f>TRUNC(SUM(G466:G469),2)</f>
        <v>2.4</v>
      </c>
    </row>
    <row r="471" spans="1:7" ht="54">
      <c r="A471" s="109" t="s">
        <v>229</v>
      </c>
      <c r="B471" s="179" t="s">
        <v>241</v>
      </c>
      <c r="C471" s="63" t="s">
        <v>345</v>
      </c>
      <c r="D471" s="64" t="s">
        <v>64</v>
      </c>
      <c r="E471" s="111">
        <v>720</v>
      </c>
      <c r="F471" s="66">
        <f>TRUNC(F472,2)</f>
        <v>3.29</v>
      </c>
      <c r="G471" s="68">
        <f>TRUNC((E471*F471),2)</f>
        <v>2368.8</v>
      </c>
    </row>
    <row r="472" spans="1:7" ht="72">
      <c r="A472" s="95"/>
      <c r="B472" s="167" t="s">
        <v>241</v>
      </c>
      <c r="C472" s="42" t="s">
        <v>572</v>
      </c>
      <c r="D472" s="43" t="s">
        <v>64</v>
      </c>
      <c r="E472" s="97">
        <v>1</v>
      </c>
      <c r="F472" s="45">
        <f>G477</f>
        <v>3.29</v>
      </c>
      <c r="G472" s="46">
        <f>TRUNC(E472*F472,2)</f>
        <v>3.29</v>
      </c>
    </row>
    <row r="473" spans="1:7" ht="18.75">
      <c r="A473" s="99"/>
      <c r="B473" s="168" t="s">
        <v>242</v>
      </c>
      <c r="C473" s="49" t="s">
        <v>573</v>
      </c>
      <c r="D473" s="50" t="s">
        <v>64</v>
      </c>
      <c r="E473" s="101">
        <v>1</v>
      </c>
      <c r="F473" s="52">
        <f>TRUNC(1.4262,2)</f>
        <v>1.42</v>
      </c>
      <c r="G473" s="53">
        <f>TRUNC(E473*F473,2)</f>
        <v>1.42</v>
      </c>
    </row>
    <row r="474" spans="1:7" ht="18.75">
      <c r="A474" s="99"/>
      <c r="B474" s="168" t="s">
        <v>98</v>
      </c>
      <c r="C474" s="49" t="s">
        <v>508</v>
      </c>
      <c r="D474" s="50" t="s">
        <v>0</v>
      </c>
      <c r="E474" s="101">
        <v>0.0014</v>
      </c>
      <c r="F474" s="52">
        <f>TRUNC(8.56,2)</f>
        <v>8.56</v>
      </c>
      <c r="G474" s="53">
        <f>TRUNC(E474*F474,2)</f>
        <v>0.01</v>
      </c>
    </row>
    <row r="475" spans="1:7" ht="36">
      <c r="A475" s="99"/>
      <c r="B475" s="168" t="s">
        <v>43</v>
      </c>
      <c r="C475" s="49" t="s">
        <v>44</v>
      </c>
      <c r="D475" s="50" t="s">
        <v>7</v>
      </c>
      <c r="E475" s="101">
        <v>0.06283</v>
      </c>
      <c r="F475" s="52">
        <f>TRUNC(12.54,2)</f>
        <v>12.54</v>
      </c>
      <c r="G475" s="53">
        <f>TRUNC(E475*F475,2)</f>
        <v>0.78</v>
      </c>
    </row>
    <row r="476" spans="1:7" ht="36">
      <c r="A476" s="99"/>
      <c r="B476" s="168" t="s">
        <v>104</v>
      </c>
      <c r="C476" s="49" t="s">
        <v>509</v>
      </c>
      <c r="D476" s="50" t="s">
        <v>7</v>
      </c>
      <c r="E476" s="101">
        <v>0.06283</v>
      </c>
      <c r="F476" s="52">
        <f>TRUNC(17.3,2)</f>
        <v>17.3</v>
      </c>
      <c r="G476" s="53">
        <f>TRUNC(E476*F476,2)</f>
        <v>1.08</v>
      </c>
    </row>
    <row r="477" spans="1:7" ht="18.75">
      <c r="A477" s="99"/>
      <c r="B477" s="168"/>
      <c r="C477" s="49"/>
      <c r="D477" s="50"/>
      <c r="E477" s="101" t="s">
        <v>5</v>
      </c>
      <c r="F477" s="52"/>
      <c r="G477" s="53">
        <f>TRUNC(SUM(G473:G476),2)</f>
        <v>3.29</v>
      </c>
    </row>
    <row r="478" spans="1:7" ht="54">
      <c r="A478" s="109" t="s">
        <v>230</v>
      </c>
      <c r="B478" s="179" t="s">
        <v>243</v>
      </c>
      <c r="C478" s="63" t="s">
        <v>346</v>
      </c>
      <c r="D478" s="64" t="s">
        <v>64</v>
      </c>
      <c r="E478" s="111">
        <v>30</v>
      </c>
      <c r="F478" s="66">
        <f>TRUNC(F479,2)</f>
        <v>6</v>
      </c>
      <c r="G478" s="68">
        <f>TRUNC((E478*F478),2)</f>
        <v>180</v>
      </c>
    </row>
    <row r="479" spans="1:7" ht="72">
      <c r="A479" s="95"/>
      <c r="B479" s="167" t="s">
        <v>243</v>
      </c>
      <c r="C479" s="42" t="s">
        <v>574</v>
      </c>
      <c r="D479" s="43" t="s">
        <v>64</v>
      </c>
      <c r="E479" s="97">
        <v>1</v>
      </c>
      <c r="F479" s="45">
        <f>G484</f>
        <v>6</v>
      </c>
      <c r="G479" s="46">
        <f>TRUNC(E479*F479,2)</f>
        <v>6</v>
      </c>
    </row>
    <row r="480" spans="1:7" ht="18.75">
      <c r="A480" s="99"/>
      <c r="B480" s="168" t="s">
        <v>244</v>
      </c>
      <c r="C480" s="49" t="s">
        <v>575</v>
      </c>
      <c r="D480" s="50" t="s">
        <v>64</v>
      </c>
      <c r="E480" s="101">
        <v>1</v>
      </c>
      <c r="F480" s="52">
        <f>TRUNC(3.5477,2)</f>
        <v>3.54</v>
      </c>
      <c r="G480" s="53">
        <f>TRUNC(E480*F480,2)</f>
        <v>3.54</v>
      </c>
    </row>
    <row r="481" spans="1:7" ht="18.75">
      <c r="A481" s="99"/>
      <c r="B481" s="168" t="s">
        <v>98</v>
      </c>
      <c r="C481" s="49" t="s">
        <v>508</v>
      </c>
      <c r="D481" s="50" t="s">
        <v>0</v>
      </c>
      <c r="E481" s="101">
        <v>0.0014</v>
      </c>
      <c r="F481" s="52">
        <f>TRUNC(8.56,2)</f>
        <v>8.56</v>
      </c>
      <c r="G481" s="53">
        <f>TRUNC(E481*F481,2)</f>
        <v>0.01</v>
      </c>
    </row>
    <row r="482" spans="1:7" ht="36">
      <c r="A482" s="99"/>
      <c r="B482" s="168" t="s">
        <v>43</v>
      </c>
      <c r="C482" s="49" t="s">
        <v>44</v>
      </c>
      <c r="D482" s="50" t="s">
        <v>7</v>
      </c>
      <c r="E482" s="101">
        <v>0.0824</v>
      </c>
      <c r="F482" s="52">
        <f>TRUNC(12.54,2)</f>
        <v>12.54</v>
      </c>
      <c r="G482" s="53">
        <f>TRUNC(E482*F482,2)</f>
        <v>1.03</v>
      </c>
    </row>
    <row r="483" spans="1:7" ht="36">
      <c r="A483" s="99"/>
      <c r="B483" s="168" t="s">
        <v>104</v>
      </c>
      <c r="C483" s="49" t="s">
        <v>509</v>
      </c>
      <c r="D483" s="50" t="s">
        <v>7</v>
      </c>
      <c r="E483" s="101">
        <v>0.0824</v>
      </c>
      <c r="F483" s="52">
        <f>TRUNC(17.3,2)</f>
        <v>17.3</v>
      </c>
      <c r="G483" s="53">
        <f>TRUNC(E483*F483,2)</f>
        <v>1.42</v>
      </c>
    </row>
    <row r="484" spans="1:7" ht="18.75">
      <c r="A484" s="99"/>
      <c r="B484" s="168"/>
      <c r="C484" s="49"/>
      <c r="D484" s="50"/>
      <c r="E484" s="101" t="s">
        <v>5</v>
      </c>
      <c r="F484" s="52"/>
      <c r="G484" s="53">
        <f>TRUNC(SUM(G480:G483),2)</f>
        <v>6</v>
      </c>
    </row>
    <row r="485" spans="1:7" ht="72">
      <c r="A485" s="109" t="s">
        <v>231</v>
      </c>
      <c r="B485" s="179" t="s">
        <v>251</v>
      </c>
      <c r="C485" s="63" t="s">
        <v>347</v>
      </c>
      <c r="D485" s="64" t="s">
        <v>0</v>
      </c>
      <c r="E485" s="111">
        <v>1</v>
      </c>
      <c r="F485" s="66">
        <f>TRUNC(F486,2)</f>
        <v>277.25</v>
      </c>
      <c r="G485" s="68">
        <f>TRUNC((E485*F485),2)</f>
        <v>277.25</v>
      </c>
    </row>
    <row r="486" spans="1:7" ht="108">
      <c r="A486" s="95"/>
      <c r="B486" s="167" t="s">
        <v>251</v>
      </c>
      <c r="C486" s="42" t="s">
        <v>576</v>
      </c>
      <c r="D486" s="43" t="s">
        <v>0</v>
      </c>
      <c r="E486" s="97">
        <v>1</v>
      </c>
      <c r="F486" s="45">
        <f>G490</f>
        <v>277.25</v>
      </c>
      <c r="G486" s="46">
        <f>TRUNC(E486*F486,2)</f>
        <v>277.25</v>
      </c>
    </row>
    <row r="487" spans="1:7" ht="54">
      <c r="A487" s="99"/>
      <c r="B487" s="168" t="s">
        <v>252</v>
      </c>
      <c r="C487" s="49" t="s">
        <v>577</v>
      </c>
      <c r="D487" s="50" t="s">
        <v>0</v>
      </c>
      <c r="E487" s="101">
        <v>1</v>
      </c>
      <c r="F487" s="52">
        <f>TRUNC(185.06,2)</f>
        <v>185.06</v>
      </c>
      <c r="G487" s="53">
        <f>TRUNC(E487*F487,2)</f>
        <v>185.06</v>
      </c>
    </row>
    <row r="488" spans="1:7" ht="36">
      <c r="A488" s="99"/>
      <c r="B488" s="168" t="s">
        <v>43</v>
      </c>
      <c r="C488" s="49" t="s">
        <v>44</v>
      </c>
      <c r="D488" s="50" t="s">
        <v>7</v>
      </c>
      <c r="E488" s="101">
        <v>3.09</v>
      </c>
      <c r="F488" s="52">
        <f>TRUNC(12.54,2)</f>
        <v>12.54</v>
      </c>
      <c r="G488" s="53">
        <f>TRUNC(E488*F488,2)</f>
        <v>38.74</v>
      </c>
    </row>
    <row r="489" spans="1:7" ht="36">
      <c r="A489" s="99"/>
      <c r="B489" s="168" t="s">
        <v>104</v>
      </c>
      <c r="C489" s="49" t="s">
        <v>509</v>
      </c>
      <c r="D489" s="50" t="s">
        <v>7</v>
      </c>
      <c r="E489" s="101">
        <v>3.09</v>
      </c>
      <c r="F489" s="52">
        <f>TRUNC(17.3,2)</f>
        <v>17.3</v>
      </c>
      <c r="G489" s="53">
        <f>TRUNC(E489*F489,2)</f>
        <v>53.45</v>
      </c>
    </row>
    <row r="490" spans="1:7" ht="18.75">
      <c r="A490" s="99"/>
      <c r="B490" s="168"/>
      <c r="C490" s="49"/>
      <c r="D490" s="50"/>
      <c r="E490" s="101" t="s">
        <v>5</v>
      </c>
      <c r="F490" s="52"/>
      <c r="G490" s="53">
        <f>TRUNC(SUM(G487:G489),2)</f>
        <v>277.25</v>
      </c>
    </row>
    <row r="491" spans="1:7" ht="36">
      <c r="A491" s="109" t="s">
        <v>232</v>
      </c>
      <c r="B491" s="179" t="s">
        <v>245</v>
      </c>
      <c r="C491" s="63" t="s">
        <v>348</v>
      </c>
      <c r="D491" s="64" t="s">
        <v>238</v>
      </c>
      <c r="E491" s="111">
        <v>1</v>
      </c>
      <c r="F491" s="66">
        <f>TRUNC(F492,2)</f>
        <v>9.15</v>
      </c>
      <c r="G491" s="68">
        <f>TRUNC((E491*F491),2)</f>
        <v>9.15</v>
      </c>
    </row>
    <row r="492" spans="1:7" ht="54">
      <c r="A492" s="95"/>
      <c r="B492" s="167" t="s">
        <v>245</v>
      </c>
      <c r="C492" s="42" t="s">
        <v>578</v>
      </c>
      <c r="D492" s="43" t="s">
        <v>0</v>
      </c>
      <c r="E492" s="97">
        <v>1</v>
      </c>
      <c r="F492" s="45">
        <f>G495</f>
        <v>9.15</v>
      </c>
      <c r="G492" s="46">
        <f>TRUNC(E492*F492,2)</f>
        <v>9.15</v>
      </c>
    </row>
    <row r="493" spans="1:7" ht="18.75">
      <c r="A493" s="99"/>
      <c r="B493" s="168" t="s">
        <v>96</v>
      </c>
      <c r="C493" s="49" t="s">
        <v>503</v>
      </c>
      <c r="D493" s="50" t="s">
        <v>0</v>
      </c>
      <c r="E493" s="101">
        <v>1</v>
      </c>
      <c r="F493" s="52">
        <f>TRUNC(6.93,2)</f>
        <v>6.93</v>
      </c>
      <c r="G493" s="53">
        <f>TRUNC(E493*F493,2)</f>
        <v>6.93</v>
      </c>
    </row>
    <row r="494" spans="1:7" ht="36">
      <c r="A494" s="99"/>
      <c r="B494" s="168" t="s">
        <v>104</v>
      </c>
      <c r="C494" s="49" t="s">
        <v>509</v>
      </c>
      <c r="D494" s="50" t="s">
        <v>7</v>
      </c>
      <c r="E494" s="101">
        <v>0.12875</v>
      </c>
      <c r="F494" s="52">
        <f>TRUNC(17.3,2)</f>
        <v>17.3</v>
      </c>
      <c r="G494" s="53">
        <f>TRUNC(E494*F494,2)</f>
        <v>2.22</v>
      </c>
    </row>
    <row r="495" spans="1:7" ht="18.75">
      <c r="A495" s="99"/>
      <c r="B495" s="168"/>
      <c r="C495" s="49"/>
      <c r="D495" s="50"/>
      <c r="E495" s="101" t="s">
        <v>5</v>
      </c>
      <c r="F495" s="52"/>
      <c r="G495" s="53">
        <f>TRUNC(SUM(G493:G494),2)</f>
        <v>9.15</v>
      </c>
    </row>
    <row r="496" spans="1:7" ht="36">
      <c r="A496" s="109" t="s">
        <v>250</v>
      </c>
      <c r="B496" s="179" t="s">
        <v>246</v>
      </c>
      <c r="C496" s="63" t="s">
        <v>349</v>
      </c>
      <c r="D496" s="64" t="s">
        <v>0</v>
      </c>
      <c r="E496" s="111">
        <v>7</v>
      </c>
      <c r="F496" s="66">
        <f>TRUNC(F497,2)</f>
        <v>30.69</v>
      </c>
      <c r="G496" s="68">
        <f>TRUNC((E496*F496),2)</f>
        <v>214.83</v>
      </c>
    </row>
    <row r="497" spans="1:7" ht="54">
      <c r="A497" s="95"/>
      <c r="B497" s="167" t="s">
        <v>246</v>
      </c>
      <c r="C497" s="42" t="s">
        <v>579</v>
      </c>
      <c r="D497" s="43" t="s">
        <v>0</v>
      </c>
      <c r="E497" s="97">
        <v>1</v>
      </c>
      <c r="F497" s="45">
        <f>G500</f>
        <v>30.69</v>
      </c>
      <c r="G497" s="46">
        <f>TRUNC(E497*F497,2)</f>
        <v>30.69</v>
      </c>
    </row>
    <row r="498" spans="1:7" ht="18.75">
      <c r="A498" s="99"/>
      <c r="B498" s="168" t="s">
        <v>247</v>
      </c>
      <c r="C498" s="49" t="s">
        <v>580</v>
      </c>
      <c r="D498" s="50" t="s">
        <v>0</v>
      </c>
      <c r="E498" s="101">
        <v>1</v>
      </c>
      <c r="F498" s="52">
        <f>TRUNC(28.02,2)</f>
        <v>28.02</v>
      </c>
      <c r="G498" s="53">
        <f>TRUNC(E498*F498,2)</f>
        <v>28.02</v>
      </c>
    </row>
    <row r="499" spans="1:7" ht="36">
      <c r="A499" s="99"/>
      <c r="B499" s="168" t="s">
        <v>104</v>
      </c>
      <c r="C499" s="49" t="s">
        <v>509</v>
      </c>
      <c r="D499" s="50" t="s">
        <v>7</v>
      </c>
      <c r="E499" s="101">
        <v>0.1545</v>
      </c>
      <c r="F499" s="52">
        <f>TRUNC(17.3,2)</f>
        <v>17.3</v>
      </c>
      <c r="G499" s="53">
        <f>TRUNC(E499*F499,2)</f>
        <v>2.67</v>
      </c>
    </row>
    <row r="500" spans="1:7" ht="18.75">
      <c r="A500" s="99"/>
      <c r="B500" s="168"/>
      <c r="C500" s="49"/>
      <c r="D500" s="50"/>
      <c r="E500" s="101" t="s">
        <v>5</v>
      </c>
      <c r="F500" s="52"/>
      <c r="G500" s="53">
        <f>TRUNC(SUM(G498:G499),2)</f>
        <v>30.69</v>
      </c>
    </row>
    <row r="501" spans="1:7" ht="36">
      <c r="A501" s="109" t="s">
        <v>253</v>
      </c>
      <c r="B501" s="179" t="s">
        <v>248</v>
      </c>
      <c r="C501" s="63" t="s">
        <v>350</v>
      </c>
      <c r="D501" s="64" t="s">
        <v>0</v>
      </c>
      <c r="E501" s="111">
        <v>1</v>
      </c>
      <c r="F501" s="66">
        <f>TRUNC(F502,2)</f>
        <v>47.47</v>
      </c>
      <c r="G501" s="68">
        <f>TRUNC((E501*F501),2)</f>
        <v>47.47</v>
      </c>
    </row>
    <row r="502" spans="1:7" ht="54">
      <c r="A502" s="95"/>
      <c r="B502" s="167" t="s">
        <v>248</v>
      </c>
      <c r="C502" s="42" t="s">
        <v>581</v>
      </c>
      <c r="D502" s="43" t="s">
        <v>0</v>
      </c>
      <c r="E502" s="97">
        <v>1</v>
      </c>
      <c r="F502" s="45">
        <f>G506</f>
        <v>47.47</v>
      </c>
      <c r="G502" s="46">
        <f>TRUNC(E502*F502,2)</f>
        <v>47.47</v>
      </c>
    </row>
    <row r="503" spans="1:7" ht="18.75">
      <c r="A503" s="99"/>
      <c r="B503" s="168" t="s">
        <v>249</v>
      </c>
      <c r="C503" s="49" t="s">
        <v>582</v>
      </c>
      <c r="D503" s="50" t="s">
        <v>0</v>
      </c>
      <c r="E503" s="101">
        <v>1</v>
      </c>
      <c r="F503" s="52">
        <f>TRUNC(35.19,2)</f>
        <v>35.19</v>
      </c>
      <c r="G503" s="53">
        <f>TRUNC(E503*F503,2)</f>
        <v>35.19</v>
      </c>
    </row>
    <row r="504" spans="1:7" ht="36">
      <c r="A504" s="99"/>
      <c r="B504" s="168" t="s">
        <v>43</v>
      </c>
      <c r="C504" s="49" t="s">
        <v>44</v>
      </c>
      <c r="D504" s="50" t="s">
        <v>7</v>
      </c>
      <c r="E504" s="101">
        <v>0.41200000000000003</v>
      </c>
      <c r="F504" s="52">
        <f>TRUNC(12.54,2)</f>
        <v>12.54</v>
      </c>
      <c r="G504" s="53">
        <f>TRUNC(E504*F504,2)</f>
        <v>5.16</v>
      </c>
    </row>
    <row r="505" spans="1:7" ht="36">
      <c r="A505" s="99"/>
      <c r="B505" s="168" t="s">
        <v>104</v>
      </c>
      <c r="C505" s="49" t="s">
        <v>509</v>
      </c>
      <c r="D505" s="50" t="s">
        <v>7</v>
      </c>
      <c r="E505" s="101">
        <v>0.41200000000000003</v>
      </c>
      <c r="F505" s="52">
        <f>TRUNC(17.3,2)</f>
        <v>17.3</v>
      </c>
      <c r="G505" s="53">
        <f>TRUNC(E505*F505,2)</f>
        <v>7.12</v>
      </c>
    </row>
    <row r="506" spans="1:7" ht="18.75">
      <c r="A506" s="99"/>
      <c r="B506" s="168"/>
      <c r="C506" s="49"/>
      <c r="D506" s="50"/>
      <c r="E506" s="101" t="s">
        <v>5</v>
      </c>
      <c r="F506" s="52"/>
      <c r="G506" s="53">
        <f>TRUNC(SUM(G503:G505),2)</f>
        <v>47.47</v>
      </c>
    </row>
    <row r="507" spans="1:7" ht="36">
      <c r="A507" s="105" t="s">
        <v>260</v>
      </c>
      <c r="B507" s="180" t="s">
        <v>167</v>
      </c>
      <c r="C507" s="73" t="s">
        <v>351</v>
      </c>
      <c r="D507" s="74" t="s">
        <v>0</v>
      </c>
      <c r="E507" s="107">
        <v>2</v>
      </c>
      <c r="F507" s="76">
        <f>TRUNC(F508,2)</f>
        <v>38.19</v>
      </c>
      <c r="G507" s="77">
        <f>TRUNC((E507*F507),2)</f>
        <v>76.38</v>
      </c>
    </row>
    <row r="508" spans="1:7" ht="72">
      <c r="A508" s="95"/>
      <c r="B508" s="167" t="s">
        <v>167</v>
      </c>
      <c r="C508" s="42" t="s">
        <v>814</v>
      </c>
      <c r="D508" s="43" t="s">
        <v>0</v>
      </c>
      <c r="E508" s="97">
        <v>1</v>
      </c>
      <c r="F508" s="45">
        <f>G512</f>
        <v>38.19</v>
      </c>
      <c r="G508" s="46">
        <f>TRUNC(E508*F508,2)</f>
        <v>38.19</v>
      </c>
    </row>
    <row r="509" spans="1:7" ht="18.75">
      <c r="A509" s="99"/>
      <c r="B509" s="168" t="s">
        <v>168</v>
      </c>
      <c r="C509" s="49" t="s">
        <v>583</v>
      </c>
      <c r="D509" s="50" t="s">
        <v>0</v>
      </c>
      <c r="E509" s="101">
        <v>1</v>
      </c>
      <c r="F509" s="52">
        <f>TRUNC(27.44,2)</f>
        <v>27.44</v>
      </c>
      <c r="G509" s="125">
        <f>TRUNC(E509*F509,2)</f>
        <v>27.44</v>
      </c>
    </row>
    <row r="510" spans="1:7" ht="36">
      <c r="A510" s="99"/>
      <c r="B510" s="168" t="s">
        <v>43</v>
      </c>
      <c r="C510" s="49" t="s">
        <v>44</v>
      </c>
      <c r="D510" s="50" t="s">
        <v>7</v>
      </c>
      <c r="E510" s="101">
        <v>0.3605</v>
      </c>
      <c r="F510" s="52">
        <f>TRUNC(12.54,2)</f>
        <v>12.54</v>
      </c>
      <c r="G510" s="125">
        <f>TRUNC(E510*F510,2)</f>
        <v>4.52</v>
      </c>
    </row>
    <row r="511" spans="1:7" ht="36">
      <c r="A511" s="99"/>
      <c r="B511" s="168" t="s">
        <v>104</v>
      </c>
      <c r="C511" s="49" t="s">
        <v>509</v>
      </c>
      <c r="D511" s="50" t="s">
        <v>7</v>
      </c>
      <c r="E511" s="101">
        <v>0.3605</v>
      </c>
      <c r="F511" s="52">
        <f>TRUNC(17.3,2)</f>
        <v>17.3</v>
      </c>
      <c r="G511" s="125">
        <f>TRUNC(E511*F511,2)</f>
        <v>6.23</v>
      </c>
    </row>
    <row r="512" spans="1:7" ht="18.75">
      <c r="A512" s="99"/>
      <c r="B512" s="168"/>
      <c r="C512" s="49"/>
      <c r="D512" s="50"/>
      <c r="E512" s="101" t="s">
        <v>5</v>
      </c>
      <c r="F512" s="52"/>
      <c r="G512" s="125">
        <f>TRUNC(SUM(G509:G511),2)</f>
        <v>38.19</v>
      </c>
    </row>
    <row r="513" spans="1:7" ht="144">
      <c r="A513" s="92" t="s">
        <v>261</v>
      </c>
      <c r="B513" s="204" t="s">
        <v>999</v>
      </c>
      <c r="C513" s="35" t="s">
        <v>1003</v>
      </c>
      <c r="D513" s="36" t="s">
        <v>0</v>
      </c>
      <c r="E513" s="94">
        <v>2</v>
      </c>
      <c r="F513" s="38">
        <f>TRUNC((F514+F517+F520+G524+G527),2)</f>
        <v>2940.95</v>
      </c>
      <c r="G513" s="69">
        <f>TRUNC((E513*F513),2)</f>
        <v>5881.9</v>
      </c>
    </row>
    <row r="514" spans="1:7" ht="30">
      <c r="A514" s="442" t="s">
        <v>141</v>
      </c>
      <c r="B514" s="457" t="s">
        <v>435</v>
      </c>
      <c r="C514" s="443" t="s">
        <v>436</v>
      </c>
      <c r="D514" s="444" t="s">
        <v>0</v>
      </c>
      <c r="E514" s="458">
        <v>1</v>
      </c>
      <c r="F514" s="459">
        <f>G516</f>
        <v>598.72</v>
      </c>
      <c r="G514" s="445">
        <f>E514*F514</f>
        <v>598.72</v>
      </c>
    </row>
    <row r="515" spans="1:7" ht="18.75">
      <c r="A515" s="415"/>
      <c r="B515" s="460" t="s">
        <v>437</v>
      </c>
      <c r="C515" s="416" t="s">
        <v>438</v>
      </c>
      <c r="D515" s="417" t="s">
        <v>0</v>
      </c>
      <c r="E515" s="418">
        <v>1</v>
      </c>
      <c r="F515" s="422">
        <v>598.72</v>
      </c>
      <c r="G515" s="420">
        <f>E515*F515</f>
        <v>598.72</v>
      </c>
    </row>
    <row r="516" spans="1:7" ht="18.75">
      <c r="A516" s="415"/>
      <c r="B516" s="460"/>
      <c r="C516" s="416"/>
      <c r="D516" s="417"/>
      <c r="E516" s="418" t="s">
        <v>5</v>
      </c>
      <c r="F516" s="419"/>
      <c r="G516" s="420">
        <f>SUM(G515:G515)</f>
        <v>598.72</v>
      </c>
    </row>
    <row r="517" spans="1:7" ht="60">
      <c r="A517" s="415" t="s">
        <v>142</v>
      </c>
      <c r="B517" s="460" t="s">
        <v>432</v>
      </c>
      <c r="C517" s="416" t="s">
        <v>433</v>
      </c>
      <c r="D517" s="417" t="s">
        <v>0</v>
      </c>
      <c r="E517" s="418">
        <v>1</v>
      </c>
      <c r="F517" s="419">
        <f>G519</f>
        <v>110.21</v>
      </c>
      <c r="G517" s="420">
        <f>E517*F517</f>
        <v>110.21</v>
      </c>
    </row>
    <row r="518" spans="1:7" ht="30">
      <c r="A518" s="415"/>
      <c r="B518" s="460" t="s">
        <v>140</v>
      </c>
      <c r="C518" s="416" t="s">
        <v>434</v>
      </c>
      <c r="D518" s="417" t="s">
        <v>7</v>
      </c>
      <c r="E518" s="418">
        <v>10.3</v>
      </c>
      <c r="F518" s="422">
        <v>10.7</v>
      </c>
      <c r="G518" s="420">
        <f>E518*F518</f>
        <v>110.21</v>
      </c>
    </row>
    <row r="519" spans="1:7" ht="18.75">
      <c r="A519" s="415"/>
      <c r="B519" s="460"/>
      <c r="C519" s="416"/>
      <c r="D519" s="417"/>
      <c r="E519" s="418" t="s">
        <v>5</v>
      </c>
      <c r="F519" s="419"/>
      <c r="G519" s="420">
        <f>SUM(G518:G518)</f>
        <v>110.21</v>
      </c>
    </row>
    <row r="520" spans="1:7" ht="75">
      <c r="A520" s="415" t="s">
        <v>143</v>
      </c>
      <c r="B520" s="421" t="s">
        <v>425</v>
      </c>
      <c r="C520" s="416" t="s">
        <v>426</v>
      </c>
      <c r="D520" s="417" t="s">
        <v>224</v>
      </c>
      <c r="E520" s="418">
        <v>1</v>
      </c>
      <c r="F520" s="422">
        <f>G523</f>
        <v>240.59</v>
      </c>
      <c r="G520" s="423">
        <f>E520*F520</f>
        <v>240.59</v>
      </c>
    </row>
    <row r="521" spans="1:7" ht="18.75">
      <c r="A521" s="415"/>
      <c r="B521" s="421" t="s">
        <v>424</v>
      </c>
      <c r="C521" s="266" t="s">
        <v>428</v>
      </c>
      <c r="D521" s="417" t="s">
        <v>430</v>
      </c>
      <c r="E521" s="418">
        <v>1</v>
      </c>
      <c r="F521" s="424">
        <v>235</v>
      </c>
      <c r="G521" s="425">
        <f>E521*F521</f>
        <v>235</v>
      </c>
    </row>
    <row r="522" spans="1:7" ht="18.75">
      <c r="A522" s="415"/>
      <c r="B522" s="426" t="s">
        <v>427</v>
      </c>
      <c r="C522" s="416" t="s">
        <v>429</v>
      </c>
      <c r="D522" s="417" t="s">
        <v>431</v>
      </c>
      <c r="E522" s="427">
        <v>0.5</v>
      </c>
      <c r="F522" s="427">
        <v>11.18</v>
      </c>
      <c r="G522" s="425">
        <f>E522*F522</f>
        <v>5.59</v>
      </c>
    </row>
    <row r="523" spans="1:7" ht="18.75">
      <c r="A523" s="415"/>
      <c r="B523" s="426"/>
      <c r="C523" s="416"/>
      <c r="D523" s="417"/>
      <c r="E523" s="427"/>
      <c r="F523" s="427"/>
      <c r="G523" s="425">
        <f>SUM(G521:G522)</f>
        <v>240.59</v>
      </c>
    </row>
    <row r="524" spans="1:8" s="446" customFormat="1" ht="45">
      <c r="A524" s="415" t="s">
        <v>175</v>
      </c>
      <c r="B524" s="447" t="s">
        <v>996</v>
      </c>
      <c r="C524" s="416" t="s">
        <v>997</v>
      </c>
      <c r="D524" s="417" t="s">
        <v>0</v>
      </c>
      <c r="E524" s="441">
        <v>3</v>
      </c>
      <c r="F524" s="448">
        <f>TRUNC(21.733,2)</f>
        <v>21.73</v>
      </c>
      <c r="G524" s="423">
        <f>TRUNC(E524*F524,2)</f>
        <v>65.19</v>
      </c>
      <c r="H524" s="189"/>
    </row>
    <row r="525" spans="1:8" s="446" customFormat="1" ht="30">
      <c r="A525" s="415"/>
      <c r="B525" s="447" t="s">
        <v>140</v>
      </c>
      <c r="C525" s="416" t="s">
        <v>434</v>
      </c>
      <c r="D525" s="417" t="s">
        <v>7</v>
      </c>
      <c r="E525" s="441">
        <v>2.06</v>
      </c>
      <c r="F525" s="448">
        <f>TRUNC(10.55,2)</f>
        <v>10.55</v>
      </c>
      <c r="G525" s="420">
        <f>TRUNC(E525*F525,2)</f>
        <v>21.73</v>
      </c>
      <c r="H525" s="189"/>
    </row>
    <row r="526" spans="1:8" s="446" customFormat="1" ht="15.75">
      <c r="A526" s="415"/>
      <c r="B526" s="447"/>
      <c r="C526" s="416"/>
      <c r="D526" s="417"/>
      <c r="E526" s="441" t="s">
        <v>5</v>
      </c>
      <c r="F526" s="449"/>
      <c r="G526" s="420">
        <f>TRUNC(SUM(G525:G525),2)</f>
        <v>21.73</v>
      </c>
      <c r="H526" s="189"/>
    </row>
    <row r="527" spans="1:8" s="446" customFormat="1" ht="15.75">
      <c r="A527" s="450" t="s">
        <v>176</v>
      </c>
      <c r="B527" s="451" t="s">
        <v>998</v>
      </c>
      <c r="C527" s="452" t="s">
        <v>985</v>
      </c>
      <c r="D527" s="453" t="s">
        <v>0</v>
      </c>
      <c r="E527" s="454">
        <v>3</v>
      </c>
      <c r="F527" s="455">
        <f>'COTAÇÕES DE MERCADO'!F4:G4</f>
        <v>642.08</v>
      </c>
      <c r="G527" s="456">
        <f>E527*F527</f>
        <v>1926.2400000000002</v>
      </c>
      <c r="H527" s="189"/>
    </row>
    <row r="528" spans="1:7" ht="93.75">
      <c r="A528" s="173" t="s">
        <v>262</v>
      </c>
      <c r="B528" s="203" t="s">
        <v>1001</v>
      </c>
      <c r="C528" s="169" t="s">
        <v>1004</v>
      </c>
      <c r="D528" s="170" t="s">
        <v>0</v>
      </c>
      <c r="E528" s="174">
        <v>4</v>
      </c>
      <c r="F528" s="171">
        <f>TRUNC((F529+F532+G535+G539+G542),2)</f>
        <v>3341.74</v>
      </c>
      <c r="G528" s="172">
        <f>TRUNC((E528*F528),2)</f>
        <v>13366.96</v>
      </c>
    </row>
    <row r="529" spans="1:7" ht="18.75">
      <c r="A529" s="95" t="s">
        <v>141</v>
      </c>
      <c r="B529" s="167" t="s">
        <v>221</v>
      </c>
      <c r="C529" s="42" t="s">
        <v>368</v>
      </c>
      <c r="D529" s="43" t="s">
        <v>0</v>
      </c>
      <c r="E529" s="108">
        <v>1</v>
      </c>
      <c r="F529" s="98">
        <v>944.41</v>
      </c>
      <c r="G529" s="46">
        <f>E529*F529</f>
        <v>944.41</v>
      </c>
    </row>
    <row r="530" spans="1:7" ht="36">
      <c r="A530" s="99"/>
      <c r="B530" s="168" t="s">
        <v>222</v>
      </c>
      <c r="C530" s="49" t="s">
        <v>584</v>
      </c>
      <c r="D530" s="50" t="s">
        <v>0</v>
      </c>
      <c r="E530" s="153">
        <v>1</v>
      </c>
      <c r="F530" s="52">
        <v>944.41</v>
      </c>
      <c r="G530" s="53">
        <f>E530*F530</f>
        <v>944.41</v>
      </c>
    </row>
    <row r="531" spans="1:7" ht="18.75">
      <c r="A531" s="99"/>
      <c r="B531" s="168"/>
      <c r="C531" s="49"/>
      <c r="D531" s="50"/>
      <c r="E531" s="153" t="s">
        <v>5</v>
      </c>
      <c r="F531" s="52"/>
      <c r="G531" s="53">
        <f>SUM(G530:G530)</f>
        <v>944.41</v>
      </c>
    </row>
    <row r="532" spans="1:7" ht="54">
      <c r="A532" s="99" t="s">
        <v>142</v>
      </c>
      <c r="B532" s="168" t="s">
        <v>223</v>
      </c>
      <c r="C532" s="49" t="s">
        <v>369</v>
      </c>
      <c r="D532" s="50" t="s">
        <v>0</v>
      </c>
      <c r="E532" s="153">
        <v>1</v>
      </c>
      <c r="F532" s="78">
        <f>G534</f>
        <v>165.315</v>
      </c>
      <c r="G532" s="53">
        <f>E532*F532</f>
        <v>165.315</v>
      </c>
    </row>
    <row r="533" spans="1:7" ht="54">
      <c r="A533" s="99"/>
      <c r="B533" s="168" t="s">
        <v>140</v>
      </c>
      <c r="C533" s="49" t="s">
        <v>434</v>
      </c>
      <c r="D533" s="50" t="s">
        <v>7</v>
      </c>
      <c r="E533" s="153">
        <v>15.450000000000001</v>
      </c>
      <c r="F533" s="52">
        <v>10.7</v>
      </c>
      <c r="G533" s="53">
        <f>E533*F533</f>
        <v>165.315</v>
      </c>
    </row>
    <row r="534" spans="1:7" ht="18.75">
      <c r="A534" s="99"/>
      <c r="B534" s="168"/>
      <c r="C534" s="49"/>
      <c r="D534" s="50"/>
      <c r="E534" s="153" t="s">
        <v>5</v>
      </c>
      <c r="F534" s="78"/>
      <c r="G534" s="53">
        <f>SUM(G533:G533)</f>
        <v>165.315</v>
      </c>
    </row>
    <row r="535" spans="1:7" ht="75">
      <c r="A535" s="415" t="s">
        <v>143</v>
      </c>
      <c r="B535" s="421" t="s">
        <v>425</v>
      </c>
      <c r="C535" s="416" t="s">
        <v>426</v>
      </c>
      <c r="D535" s="417" t="s">
        <v>224</v>
      </c>
      <c r="E535" s="418">
        <v>1</v>
      </c>
      <c r="F535" s="422">
        <f>G538</f>
        <v>240.59</v>
      </c>
      <c r="G535" s="423">
        <f>E535*F535</f>
        <v>240.59</v>
      </c>
    </row>
    <row r="536" spans="1:7" ht="18.75">
      <c r="A536" s="415"/>
      <c r="B536" s="421" t="s">
        <v>424</v>
      </c>
      <c r="C536" s="266" t="s">
        <v>428</v>
      </c>
      <c r="D536" s="417" t="s">
        <v>430</v>
      </c>
      <c r="E536" s="418">
        <v>1</v>
      </c>
      <c r="F536" s="424">
        <v>235</v>
      </c>
      <c r="G536" s="425">
        <f>E536*F536</f>
        <v>235</v>
      </c>
    </row>
    <row r="537" spans="1:7" ht="18.75">
      <c r="A537" s="415"/>
      <c r="B537" s="426" t="s">
        <v>427</v>
      </c>
      <c r="C537" s="416" t="s">
        <v>429</v>
      </c>
      <c r="D537" s="417" t="s">
        <v>431</v>
      </c>
      <c r="E537" s="427">
        <v>0.5</v>
      </c>
      <c r="F537" s="427">
        <v>11.18</v>
      </c>
      <c r="G537" s="425">
        <f>E537*F537</f>
        <v>5.59</v>
      </c>
    </row>
    <row r="538" spans="1:7" ht="18.75">
      <c r="A538" s="415"/>
      <c r="B538" s="426"/>
      <c r="C538" s="416"/>
      <c r="D538" s="417"/>
      <c r="E538" s="427"/>
      <c r="F538" s="427"/>
      <c r="G538" s="425">
        <f>SUM(G536:G537)</f>
        <v>240.59</v>
      </c>
    </row>
    <row r="539" spans="1:8" s="446" customFormat="1" ht="45">
      <c r="A539" s="415" t="s">
        <v>175</v>
      </c>
      <c r="B539" s="447" t="s">
        <v>996</v>
      </c>
      <c r="C539" s="416" t="s">
        <v>997</v>
      </c>
      <c r="D539" s="417" t="s">
        <v>0</v>
      </c>
      <c r="E539" s="441">
        <v>3</v>
      </c>
      <c r="F539" s="448">
        <f>TRUNC(21.733,2)</f>
        <v>21.73</v>
      </c>
      <c r="G539" s="423">
        <f>TRUNC(E539*F539,2)</f>
        <v>65.19</v>
      </c>
      <c r="H539" s="189"/>
    </row>
    <row r="540" spans="1:8" s="446" customFormat="1" ht="30">
      <c r="A540" s="415"/>
      <c r="B540" s="447" t="s">
        <v>140</v>
      </c>
      <c r="C540" s="416" t="s">
        <v>434</v>
      </c>
      <c r="D540" s="417" t="s">
        <v>7</v>
      </c>
      <c r="E540" s="441">
        <v>2.06</v>
      </c>
      <c r="F540" s="448">
        <f>TRUNC(10.55,2)</f>
        <v>10.55</v>
      </c>
      <c r="G540" s="420">
        <f>TRUNC(E540*F540,2)</f>
        <v>21.73</v>
      </c>
      <c r="H540" s="189"/>
    </row>
    <row r="541" spans="1:8" s="446" customFormat="1" ht="15.75">
      <c r="A541" s="415"/>
      <c r="B541" s="447"/>
      <c r="C541" s="416"/>
      <c r="D541" s="417"/>
      <c r="E541" s="441" t="s">
        <v>5</v>
      </c>
      <c r="F541" s="449"/>
      <c r="G541" s="420">
        <f>TRUNC(SUM(G540:G540),2)</f>
        <v>21.73</v>
      </c>
      <c r="H541" s="189"/>
    </row>
    <row r="542" spans="1:8" s="446" customFormat="1" ht="15.75">
      <c r="A542" s="450" t="s">
        <v>176</v>
      </c>
      <c r="B542" s="451" t="s">
        <v>998</v>
      </c>
      <c r="C542" s="452" t="s">
        <v>985</v>
      </c>
      <c r="D542" s="453" t="s">
        <v>0</v>
      </c>
      <c r="E542" s="454">
        <v>3</v>
      </c>
      <c r="F542" s="455">
        <f>F527</f>
        <v>642.08</v>
      </c>
      <c r="G542" s="456">
        <f>E542*F542</f>
        <v>1926.2400000000002</v>
      </c>
      <c r="H542" s="189"/>
    </row>
    <row r="543" spans="1:7" ht="90">
      <c r="A543" s="105" t="s">
        <v>265</v>
      </c>
      <c r="B543" s="394" t="s">
        <v>255</v>
      </c>
      <c r="C543" s="73" t="s">
        <v>352</v>
      </c>
      <c r="D543" s="74" t="s">
        <v>0</v>
      </c>
      <c r="E543" s="107">
        <v>7</v>
      </c>
      <c r="F543" s="76">
        <f>TRUNC(F544,2)</f>
        <v>202.27</v>
      </c>
      <c r="G543" s="77">
        <f>TRUNC((E543*F543),2)</f>
        <v>1415.89</v>
      </c>
    </row>
    <row r="544" spans="1:7" ht="90">
      <c r="A544" s="99"/>
      <c r="B544" s="168" t="s">
        <v>254</v>
      </c>
      <c r="C544" s="49" t="s">
        <v>370</v>
      </c>
      <c r="D544" s="50" t="s">
        <v>0</v>
      </c>
      <c r="E544" s="153">
        <v>1</v>
      </c>
      <c r="F544" s="52">
        <f>G555</f>
        <v>202.27871031999996</v>
      </c>
      <c r="G544" s="125">
        <f aca="true" t="shared" si="21" ref="G544:G554">E544*F544</f>
        <v>202.27871031999996</v>
      </c>
    </row>
    <row r="545" spans="1:7" ht="18.75">
      <c r="A545" s="99"/>
      <c r="B545" s="168" t="s">
        <v>183</v>
      </c>
      <c r="C545" s="49" t="s">
        <v>461</v>
      </c>
      <c r="D545" s="50" t="s">
        <v>52</v>
      </c>
      <c r="E545" s="153">
        <v>0.02</v>
      </c>
      <c r="F545" s="52">
        <v>5.47</v>
      </c>
      <c r="G545" s="125">
        <f t="shared" si="21"/>
        <v>0.1094</v>
      </c>
    </row>
    <row r="546" spans="1:7" ht="36">
      <c r="A546" s="99"/>
      <c r="B546" s="168" t="s">
        <v>184</v>
      </c>
      <c r="C546" s="49" t="s">
        <v>586</v>
      </c>
      <c r="D546" s="50" t="s">
        <v>52</v>
      </c>
      <c r="E546" s="153">
        <v>5</v>
      </c>
      <c r="F546" s="52">
        <v>4.02</v>
      </c>
      <c r="G546" s="125">
        <f t="shared" si="21"/>
        <v>20.099999999999998</v>
      </c>
    </row>
    <row r="547" spans="1:7" ht="18.75">
      <c r="A547" s="99"/>
      <c r="B547" s="168" t="s">
        <v>185</v>
      </c>
      <c r="C547" s="49" t="s">
        <v>815</v>
      </c>
      <c r="D547" s="50" t="s">
        <v>64</v>
      </c>
      <c r="E547" s="153">
        <v>1.13</v>
      </c>
      <c r="F547" s="52">
        <v>5.3</v>
      </c>
      <c r="G547" s="125">
        <f t="shared" si="21"/>
        <v>5.988999999999999</v>
      </c>
    </row>
    <row r="548" spans="1:7" ht="36">
      <c r="A548" s="99"/>
      <c r="B548" s="168" t="s">
        <v>182</v>
      </c>
      <c r="C548" s="49" t="s">
        <v>467</v>
      </c>
      <c r="D548" s="50" t="s">
        <v>7</v>
      </c>
      <c r="E548" s="153">
        <v>0.4635</v>
      </c>
      <c r="F548" s="52">
        <v>17.3</v>
      </c>
      <c r="G548" s="125">
        <f t="shared" si="21"/>
        <v>8.018550000000001</v>
      </c>
    </row>
    <row r="549" spans="1:7" ht="36">
      <c r="A549" s="99"/>
      <c r="B549" s="168" t="s">
        <v>46</v>
      </c>
      <c r="C549" s="49" t="s">
        <v>458</v>
      </c>
      <c r="D549" s="50" t="s">
        <v>7</v>
      </c>
      <c r="E549" s="153">
        <v>4.3260000000000005</v>
      </c>
      <c r="F549" s="52">
        <v>17.3</v>
      </c>
      <c r="G549" s="125">
        <f t="shared" si="21"/>
        <v>74.83980000000001</v>
      </c>
    </row>
    <row r="550" spans="1:7" ht="36">
      <c r="A550" s="99"/>
      <c r="B550" s="168" t="s">
        <v>43</v>
      </c>
      <c r="C550" s="49" t="s">
        <v>44</v>
      </c>
      <c r="D550" s="50" t="s">
        <v>7</v>
      </c>
      <c r="E550" s="153">
        <v>3.193</v>
      </c>
      <c r="F550" s="52">
        <v>12.54</v>
      </c>
      <c r="G550" s="125">
        <f t="shared" si="21"/>
        <v>40.04022</v>
      </c>
    </row>
    <row r="551" spans="1:7" ht="18.75">
      <c r="A551" s="99"/>
      <c r="B551" s="168" t="s">
        <v>186</v>
      </c>
      <c r="C551" s="49" t="s">
        <v>587</v>
      </c>
      <c r="D551" s="50" t="s">
        <v>42</v>
      </c>
      <c r="E551" s="153">
        <v>0.0084</v>
      </c>
      <c r="F551" s="52">
        <v>197.3437</v>
      </c>
      <c r="G551" s="125">
        <f t="shared" si="21"/>
        <v>1.65768708</v>
      </c>
    </row>
    <row r="552" spans="1:7" ht="18.75">
      <c r="A552" s="99"/>
      <c r="B552" s="168" t="s">
        <v>51</v>
      </c>
      <c r="C552" s="49" t="s">
        <v>534</v>
      </c>
      <c r="D552" s="50" t="s">
        <v>42</v>
      </c>
      <c r="E552" s="153">
        <v>0.0084</v>
      </c>
      <c r="F552" s="52">
        <v>210.7543</v>
      </c>
      <c r="G552" s="125">
        <f t="shared" si="21"/>
        <v>1.7703361199999998</v>
      </c>
    </row>
    <row r="553" spans="1:7" ht="18.75">
      <c r="A553" s="99"/>
      <c r="B553" s="176"/>
      <c r="C553" s="152" t="s">
        <v>371</v>
      </c>
      <c r="D553" s="50" t="s">
        <v>47</v>
      </c>
      <c r="E553" s="153">
        <v>0.64</v>
      </c>
      <c r="F553" s="52">
        <f>F556</f>
        <v>56.755883</v>
      </c>
      <c r="G553" s="125">
        <f t="shared" si="21"/>
        <v>36.32376512</v>
      </c>
    </row>
    <row r="554" spans="1:7" ht="18.75">
      <c r="A554" s="99"/>
      <c r="B554" s="168" t="s">
        <v>187</v>
      </c>
      <c r="C554" s="49" t="s">
        <v>588</v>
      </c>
      <c r="D554" s="50" t="s">
        <v>47</v>
      </c>
      <c r="E554" s="153">
        <v>0.64</v>
      </c>
      <c r="F554" s="52">
        <v>20.9843</v>
      </c>
      <c r="G554" s="125">
        <f t="shared" si="21"/>
        <v>13.429952</v>
      </c>
    </row>
    <row r="555" spans="1:7" ht="18.75">
      <c r="A555" s="99"/>
      <c r="B555" s="168"/>
      <c r="C555" s="49"/>
      <c r="D555" s="50"/>
      <c r="E555" s="153" t="s">
        <v>5</v>
      </c>
      <c r="F555" s="52"/>
      <c r="G555" s="125">
        <f>SUM(G545:G554)</f>
        <v>202.27871031999996</v>
      </c>
    </row>
    <row r="556" spans="1:7" ht="90">
      <c r="A556" s="99"/>
      <c r="B556" s="168" t="s">
        <v>188</v>
      </c>
      <c r="C556" s="49" t="s">
        <v>589</v>
      </c>
      <c r="D556" s="50" t="s">
        <v>47</v>
      </c>
      <c r="E556" s="153">
        <v>1</v>
      </c>
      <c r="F556" s="52">
        <f>G562</f>
        <v>56.755883</v>
      </c>
      <c r="G556" s="125">
        <f aca="true" t="shared" si="22" ref="G556:G561">E556*F556</f>
        <v>56.755883</v>
      </c>
    </row>
    <row r="557" spans="1:7" ht="36">
      <c r="A557" s="99"/>
      <c r="B557" s="168" t="s">
        <v>189</v>
      </c>
      <c r="C557" s="49" t="s">
        <v>590</v>
      </c>
      <c r="D557" s="50" t="s">
        <v>0</v>
      </c>
      <c r="E557" s="153">
        <v>13</v>
      </c>
      <c r="F557" s="52">
        <v>1.35</v>
      </c>
      <c r="G557" s="125">
        <f t="shared" si="22"/>
        <v>17.55</v>
      </c>
    </row>
    <row r="558" spans="1:7" ht="36">
      <c r="A558" s="99"/>
      <c r="B558" s="168" t="s">
        <v>43</v>
      </c>
      <c r="C558" s="49" t="s">
        <v>44</v>
      </c>
      <c r="D558" s="50" t="s">
        <v>7</v>
      </c>
      <c r="E558" s="153">
        <v>0.927</v>
      </c>
      <c r="F558" s="52">
        <v>12.54</v>
      </c>
      <c r="G558" s="125">
        <f t="shared" si="22"/>
        <v>11.62458</v>
      </c>
    </row>
    <row r="559" spans="1:7" ht="36">
      <c r="A559" s="99"/>
      <c r="B559" s="168" t="s">
        <v>46</v>
      </c>
      <c r="C559" s="49" t="s">
        <v>458</v>
      </c>
      <c r="D559" s="50" t="s">
        <v>7</v>
      </c>
      <c r="E559" s="153">
        <v>0.927</v>
      </c>
      <c r="F559" s="52">
        <v>17.3</v>
      </c>
      <c r="G559" s="125">
        <f t="shared" si="22"/>
        <v>16.037100000000002</v>
      </c>
    </row>
    <row r="560" spans="1:7" ht="18.75">
      <c r="A560" s="99"/>
      <c r="B560" s="168" t="s">
        <v>190</v>
      </c>
      <c r="C560" s="49" t="s">
        <v>591</v>
      </c>
      <c r="D560" s="50" t="s">
        <v>42</v>
      </c>
      <c r="E560" s="153">
        <v>0.04</v>
      </c>
      <c r="F560" s="52">
        <v>225.5182</v>
      </c>
      <c r="G560" s="125">
        <f t="shared" si="22"/>
        <v>9.020728</v>
      </c>
    </row>
    <row r="561" spans="1:7" ht="36">
      <c r="A561" s="99"/>
      <c r="B561" s="168" t="s">
        <v>135</v>
      </c>
      <c r="C561" s="49" t="s">
        <v>533</v>
      </c>
      <c r="D561" s="50" t="s">
        <v>42</v>
      </c>
      <c r="E561" s="153">
        <v>0.01</v>
      </c>
      <c r="F561" s="52">
        <v>252.3475</v>
      </c>
      <c r="G561" s="125">
        <f t="shared" si="22"/>
        <v>2.523475</v>
      </c>
    </row>
    <row r="562" spans="1:7" ht="18.75">
      <c r="A562" s="99"/>
      <c r="B562" s="168"/>
      <c r="C562" s="49"/>
      <c r="D562" s="50"/>
      <c r="E562" s="153" t="s">
        <v>5</v>
      </c>
      <c r="F562" s="52"/>
      <c r="G562" s="125">
        <f>SUM(G557:G561)</f>
        <v>56.755883</v>
      </c>
    </row>
    <row r="563" spans="1:7" ht="36">
      <c r="A563" s="105" t="s">
        <v>266</v>
      </c>
      <c r="B563" s="394" t="s">
        <v>256</v>
      </c>
      <c r="C563" s="73" t="s">
        <v>353</v>
      </c>
      <c r="D563" s="74" t="s">
        <v>0</v>
      </c>
      <c r="E563" s="107">
        <v>1</v>
      </c>
      <c r="F563" s="76">
        <f>TRUNC(F564,2)</f>
        <v>39.05</v>
      </c>
      <c r="G563" s="77">
        <f>TRUNC((E563*F563),2)</f>
        <v>39.05</v>
      </c>
    </row>
    <row r="564" spans="1:7" ht="54">
      <c r="A564" s="99"/>
      <c r="B564" s="168" t="s">
        <v>256</v>
      </c>
      <c r="C564" s="49" t="s">
        <v>372</v>
      </c>
      <c r="D564" s="50" t="s">
        <v>0</v>
      </c>
      <c r="E564" s="153">
        <v>1</v>
      </c>
      <c r="F564" s="52">
        <f>G567</f>
        <v>39.0533</v>
      </c>
      <c r="G564" s="125">
        <f>E564*F564</f>
        <v>39.0533</v>
      </c>
    </row>
    <row r="565" spans="1:7" ht="36">
      <c r="A565" s="99"/>
      <c r="B565" s="168" t="s">
        <v>257</v>
      </c>
      <c r="C565" s="49" t="s">
        <v>592</v>
      </c>
      <c r="D565" s="50" t="s">
        <v>0</v>
      </c>
      <c r="E565" s="153">
        <v>1</v>
      </c>
      <c r="F565" s="52">
        <v>26.58</v>
      </c>
      <c r="G565" s="125">
        <f>E565*F565</f>
        <v>26.58</v>
      </c>
    </row>
    <row r="566" spans="1:7" ht="36">
      <c r="A566" s="99"/>
      <c r="B566" s="168" t="s">
        <v>104</v>
      </c>
      <c r="C566" s="49" t="s">
        <v>509</v>
      </c>
      <c r="D566" s="50" t="s">
        <v>7</v>
      </c>
      <c r="E566" s="153">
        <v>0.721</v>
      </c>
      <c r="F566" s="52">
        <v>17.3</v>
      </c>
      <c r="G566" s="125">
        <f>E566*F566</f>
        <v>12.4733</v>
      </c>
    </row>
    <row r="567" spans="1:7" ht="18.75">
      <c r="A567" s="99"/>
      <c r="B567" s="168"/>
      <c r="C567" s="49"/>
      <c r="D567" s="50"/>
      <c r="E567" s="153" t="s">
        <v>5</v>
      </c>
      <c r="F567" s="52"/>
      <c r="G567" s="125">
        <f>SUM(G565:G566)</f>
        <v>39.0533</v>
      </c>
    </row>
    <row r="568" spans="1:7" ht="36">
      <c r="A568" s="105" t="s">
        <v>267</v>
      </c>
      <c r="B568" s="394" t="s">
        <v>258</v>
      </c>
      <c r="C568" s="73" t="s">
        <v>354</v>
      </c>
      <c r="D568" s="74" t="s">
        <v>0</v>
      </c>
      <c r="E568" s="107">
        <v>1</v>
      </c>
      <c r="F568" s="76">
        <f>TRUNC(F569,2)</f>
        <v>99.05</v>
      </c>
      <c r="G568" s="77">
        <f>TRUNC((E568*F568),2)</f>
        <v>99.05</v>
      </c>
    </row>
    <row r="569" spans="1:7" ht="36">
      <c r="A569" s="99"/>
      <c r="B569" s="168" t="s">
        <v>258</v>
      </c>
      <c r="C569" s="49" t="s">
        <v>354</v>
      </c>
      <c r="D569" s="50" t="s">
        <v>0</v>
      </c>
      <c r="E569" s="153">
        <v>1</v>
      </c>
      <c r="F569" s="52">
        <f>G572</f>
        <v>99.05425</v>
      </c>
      <c r="G569" s="125">
        <f>E569*F569</f>
        <v>99.05425</v>
      </c>
    </row>
    <row r="570" spans="1:7" ht="36">
      <c r="A570" s="99"/>
      <c r="B570" s="168" t="s">
        <v>259</v>
      </c>
      <c r="C570" s="49" t="s">
        <v>593</v>
      </c>
      <c r="D570" s="50" t="s">
        <v>0</v>
      </c>
      <c r="E570" s="153">
        <v>1</v>
      </c>
      <c r="F570" s="52">
        <v>85.69</v>
      </c>
      <c r="G570" s="125">
        <f>E570*F570</f>
        <v>85.69</v>
      </c>
    </row>
    <row r="571" spans="1:7" ht="36">
      <c r="A571" s="99"/>
      <c r="B571" s="168" t="s">
        <v>104</v>
      </c>
      <c r="C571" s="49" t="s">
        <v>509</v>
      </c>
      <c r="D571" s="50" t="s">
        <v>7</v>
      </c>
      <c r="E571" s="153">
        <v>0.7725</v>
      </c>
      <c r="F571" s="52">
        <v>17.3</v>
      </c>
      <c r="G571" s="125">
        <f>E571*F571</f>
        <v>13.36425</v>
      </c>
    </row>
    <row r="572" spans="1:7" ht="18.75">
      <c r="A572" s="99"/>
      <c r="B572" s="168"/>
      <c r="C572" s="49"/>
      <c r="D572" s="50"/>
      <c r="E572" s="153" t="s">
        <v>5</v>
      </c>
      <c r="F572" s="52"/>
      <c r="G572" s="125">
        <f>SUM(G570:G571)</f>
        <v>99.05425</v>
      </c>
    </row>
    <row r="573" spans="1:7" ht="36">
      <c r="A573" s="105" t="s">
        <v>268</v>
      </c>
      <c r="B573" s="394" t="s">
        <v>306</v>
      </c>
      <c r="C573" s="73" t="s">
        <v>355</v>
      </c>
      <c r="D573" s="74" t="s">
        <v>0</v>
      </c>
      <c r="E573" s="107">
        <v>4</v>
      </c>
      <c r="F573" s="76">
        <f>TRUNC(F574,2)</f>
        <v>8.44</v>
      </c>
      <c r="G573" s="77">
        <f>TRUNC((E573*F573),2)</f>
        <v>33.76</v>
      </c>
    </row>
    <row r="574" spans="1:7" ht="36">
      <c r="A574" s="99"/>
      <c r="B574" s="168" t="s">
        <v>306</v>
      </c>
      <c r="C574" s="49" t="s">
        <v>373</v>
      </c>
      <c r="D574" s="50" t="s">
        <v>0</v>
      </c>
      <c r="E574" s="153">
        <v>1</v>
      </c>
      <c r="F574" s="52">
        <f>G577</f>
        <v>8.4438</v>
      </c>
      <c r="G574" s="125">
        <f>E574*F574</f>
        <v>8.4438</v>
      </c>
    </row>
    <row r="575" spans="1:7" ht="36">
      <c r="A575" s="99"/>
      <c r="B575" s="168" t="s">
        <v>307</v>
      </c>
      <c r="C575" s="49" t="s">
        <v>816</v>
      </c>
      <c r="D575" s="50" t="s">
        <v>0</v>
      </c>
      <c r="E575" s="153">
        <v>1</v>
      </c>
      <c r="F575" s="52">
        <v>4.88</v>
      </c>
      <c r="G575" s="125">
        <f>E575*F575</f>
        <v>4.88</v>
      </c>
    </row>
    <row r="576" spans="1:7" ht="36">
      <c r="A576" s="99"/>
      <c r="B576" s="168" t="s">
        <v>104</v>
      </c>
      <c r="C576" s="49" t="s">
        <v>509</v>
      </c>
      <c r="D576" s="50" t="s">
        <v>7</v>
      </c>
      <c r="E576" s="153">
        <v>0.20600000000000002</v>
      </c>
      <c r="F576" s="52">
        <v>17.3</v>
      </c>
      <c r="G576" s="125">
        <f>E576*F576</f>
        <v>3.5638000000000005</v>
      </c>
    </row>
    <row r="577" spans="1:7" ht="18.75">
      <c r="A577" s="99"/>
      <c r="B577" s="168"/>
      <c r="C577" s="49"/>
      <c r="D577" s="50"/>
      <c r="E577" s="153" t="s">
        <v>5</v>
      </c>
      <c r="F577" s="52"/>
      <c r="G577" s="125">
        <f>SUM(G575:G576)</f>
        <v>8.4438</v>
      </c>
    </row>
    <row r="578" spans="1:7" ht="36">
      <c r="A578" s="105" t="s">
        <v>269</v>
      </c>
      <c r="B578" s="394" t="s">
        <v>308</v>
      </c>
      <c r="C578" s="73" t="s">
        <v>365</v>
      </c>
      <c r="D578" s="74" t="s">
        <v>0</v>
      </c>
      <c r="E578" s="107">
        <v>4</v>
      </c>
      <c r="F578" s="76">
        <f>TRUNC(F579,2)</f>
        <v>10.64</v>
      </c>
      <c r="G578" s="77">
        <f>TRUNC((E578*F578),2)</f>
        <v>42.56</v>
      </c>
    </row>
    <row r="579" spans="1:7" ht="36">
      <c r="A579" s="99"/>
      <c r="B579" s="168" t="s">
        <v>308</v>
      </c>
      <c r="C579" s="49" t="s">
        <v>356</v>
      </c>
      <c r="D579" s="50" t="s">
        <v>0</v>
      </c>
      <c r="E579" s="153">
        <v>1</v>
      </c>
      <c r="F579" s="52">
        <f>G582</f>
        <v>10.644750000000002</v>
      </c>
      <c r="G579" s="125">
        <f>E579*F579</f>
        <v>10.644750000000002</v>
      </c>
    </row>
    <row r="580" spans="1:7" ht="36">
      <c r="A580" s="99"/>
      <c r="B580" s="168" t="s">
        <v>309</v>
      </c>
      <c r="C580" s="49" t="s">
        <v>594</v>
      </c>
      <c r="D580" s="50" t="s">
        <v>0</v>
      </c>
      <c r="E580" s="153">
        <v>1</v>
      </c>
      <c r="F580" s="52">
        <v>6.19</v>
      </c>
      <c r="G580" s="125">
        <f>E580*F580</f>
        <v>6.19</v>
      </c>
    </row>
    <row r="581" spans="1:7" ht="36">
      <c r="A581" s="99"/>
      <c r="B581" s="168" t="s">
        <v>104</v>
      </c>
      <c r="C581" s="49" t="s">
        <v>509</v>
      </c>
      <c r="D581" s="50" t="s">
        <v>7</v>
      </c>
      <c r="E581" s="153">
        <v>0.2575</v>
      </c>
      <c r="F581" s="52">
        <v>17.3</v>
      </c>
      <c r="G581" s="125">
        <f>E581*F581</f>
        <v>4.454750000000001</v>
      </c>
    </row>
    <row r="582" spans="1:7" ht="18.75">
      <c r="A582" s="99"/>
      <c r="B582" s="168"/>
      <c r="C582" s="49"/>
      <c r="D582" s="50"/>
      <c r="E582" s="153" t="s">
        <v>5</v>
      </c>
      <c r="F582" s="52"/>
      <c r="G582" s="125">
        <f>SUM(G580:G581)</f>
        <v>10.644750000000002</v>
      </c>
    </row>
    <row r="583" spans="1:7" s="178" customFormat="1" ht="18.75">
      <c r="A583" s="300"/>
      <c r="B583" s="411"/>
      <c r="C583" s="301"/>
      <c r="D583" s="302"/>
      <c r="E583" s="536" t="s">
        <v>73</v>
      </c>
      <c r="F583" s="536"/>
      <c r="G583" s="412">
        <f>G418+G445+G451+G458+G464+G471+G478+G485+G491+G496+G501+G507+G513+G528+G543+G563+G568+G573+G578</f>
        <v>27377.269999999997</v>
      </c>
    </row>
    <row r="584" spans="1:7" ht="18.75">
      <c r="A584" s="84" t="s">
        <v>178</v>
      </c>
      <c r="B584" s="84"/>
      <c r="C584" s="85" t="s">
        <v>357</v>
      </c>
      <c r="D584" s="86"/>
      <c r="E584" s="87"/>
      <c r="F584" s="88"/>
      <c r="G584" s="89"/>
    </row>
    <row r="585" spans="1:7" ht="36">
      <c r="A585" s="109" t="s">
        <v>179</v>
      </c>
      <c r="B585" s="110" t="s">
        <v>225</v>
      </c>
      <c r="C585" s="63" t="s">
        <v>358</v>
      </c>
      <c r="D585" s="64" t="s">
        <v>64</v>
      </c>
      <c r="E585" s="111">
        <v>329.28</v>
      </c>
      <c r="F585" s="66">
        <f>TRUNC(F586,2)</f>
        <v>12.51</v>
      </c>
      <c r="G585" s="67">
        <f>TRUNC((E585*F585),2)</f>
        <v>4119.29</v>
      </c>
    </row>
    <row r="586" spans="1:7" ht="36">
      <c r="A586" s="95"/>
      <c r="B586" s="96" t="s">
        <v>225</v>
      </c>
      <c r="C586" s="42" t="s">
        <v>403</v>
      </c>
      <c r="D586" s="43" t="s">
        <v>64</v>
      </c>
      <c r="E586" s="97">
        <v>1</v>
      </c>
      <c r="F586" s="45">
        <v>12.510000228881836</v>
      </c>
      <c r="G586" s="46">
        <f>E586*F586</f>
        <v>12.510000228881836</v>
      </c>
    </row>
    <row r="587" spans="1:7" ht="36">
      <c r="A587" s="92" t="s">
        <v>180</v>
      </c>
      <c r="B587" s="182" t="s">
        <v>226</v>
      </c>
      <c r="C587" s="35" t="s">
        <v>449</v>
      </c>
      <c r="D587" s="36" t="s">
        <v>47</v>
      </c>
      <c r="E587" s="94">
        <f>517.55+242.92</f>
        <v>760.4699999999999</v>
      </c>
      <c r="F587" s="38">
        <f>TRUNC(F588,2)</f>
        <v>15.18</v>
      </c>
      <c r="G587" s="69">
        <f>TRUNC((E587*F587),2)</f>
        <v>11543.93</v>
      </c>
    </row>
    <row r="588" spans="1:7" ht="18.75">
      <c r="A588" s="95"/>
      <c r="B588" s="96" t="s">
        <v>226</v>
      </c>
      <c r="C588" s="42" t="s">
        <v>404</v>
      </c>
      <c r="D588" s="43" t="s">
        <v>47</v>
      </c>
      <c r="E588" s="97">
        <v>1</v>
      </c>
      <c r="F588" s="45">
        <f>TRUNC(15.1891,2)</f>
        <v>15.18</v>
      </c>
      <c r="G588" s="46">
        <f>TRUNC(E588*F588,2)</f>
        <v>15.18</v>
      </c>
    </row>
    <row r="589" spans="1:7" ht="18.75">
      <c r="A589" s="99"/>
      <c r="B589" s="100" t="s">
        <v>907</v>
      </c>
      <c r="C589" s="49" t="s">
        <v>908</v>
      </c>
      <c r="D589" s="50" t="s">
        <v>904</v>
      </c>
      <c r="E589" s="101">
        <v>0.17</v>
      </c>
      <c r="F589" s="52">
        <f>TRUNC(11.53,2)</f>
        <v>11.53</v>
      </c>
      <c r="G589" s="53">
        <f>TRUNC(E589*F589,2)</f>
        <v>1.96</v>
      </c>
    </row>
    <row r="590" spans="1:7" ht="18.75">
      <c r="A590" s="99"/>
      <c r="B590" s="100" t="s">
        <v>200</v>
      </c>
      <c r="C590" s="49" t="s">
        <v>201</v>
      </c>
      <c r="D590" s="50" t="s">
        <v>7</v>
      </c>
      <c r="E590" s="101">
        <v>0.25</v>
      </c>
      <c r="F590" s="52">
        <f>TRUNC(19.33,2)</f>
        <v>19.33</v>
      </c>
      <c r="G590" s="53">
        <f>TRUNC(E590*F590,2)</f>
        <v>4.83</v>
      </c>
    </row>
    <row r="591" spans="1:7" ht="18.75">
      <c r="A591" s="99"/>
      <c r="B591" s="100" t="s">
        <v>905</v>
      </c>
      <c r="C591" s="49" t="s">
        <v>906</v>
      </c>
      <c r="D591" s="50" t="s">
        <v>7</v>
      </c>
      <c r="E591" s="101">
        <v>0.35</v>
      </c>
      <c r="F591" s="52">
        <f>TRUNC(23.99,2)</f>
        <v>23.99</v>
      </c>
      <c r="G591" s="53">
        <f>TRUNC(E591*F591,2)</f>
        <v>8.39</v>
      </c>
    </row>
    <row r="592" spans="1:7" ht="18.75">
      <c r="A592" s="102"/>
      <c r="B592" s="103"/>
      <c r="C592" s="56"/>
      <c r="D592" s="57"/>
      <c r="E592" s="104" t="s">
        <v>5</v>
      </c>
      <c r="F592" s="59"/>
      <c r="G592" s="60">
        <f>TRUNC(SUM(G589:G591),2)</f>
        <v>15.18</v>
      </c>
    </row>
    <row r="593" spans="1:7" ht="72">
      <c r="A593" s="109" t="s">
        <v>439</v>
      </c>
      <c r="B593" s="220" t="s">
        <v>440</v>
      </c>
      <c r="C593" s="63" t="s">
        <v>448</v>
      </c>
      <c r="D593" s="64" t="s">
        <v>47</v>
      </c>
      <c r="E593" s="111">
        <v>194.7</v>
      </c>
      <c r="F593" s="66">
        <f>TRUNC(F594,2)</f>
        <v>15.48</v>
      </c>
      <c r="G593" s="68">
        <f>TRUNC((E593*F593),2)</f>
        <v>3013.95</v>
      </c>
    </row>
    <row r="594" spans="1:7" ht="90">
      <c r="A594" s="95"/>
      <c r="B594" s="96" t="s">
        <v>440</v>
      </c>
      <c r="C594" s="42" t="s">
        <v>817</v>
      </c>
      <c r="D594" s="43" t="s">
        <v>47</v>
      </c>
      <c r="E594" s="97">
        <v>1</v>
      </c>
      <c r="F594" s="45">
        <f>G600</f>
        <v>15.48</v>
      </c>
      <c r="G594" s="46">
        <f aca="true" t="shared" si="23" ref="G594:G599">TRUNC(E594*F594,2)</f>
        <v>15.48</v>
      </c>
    </row>
    <row r="595" spans="1:7" ht="18.75">
      <c r="A595" s="99"/>
      <c r="B595" s="100" t="s">
        <v>445</v>
      </c>
      <c r="C595" s="49" t="s">
        <v>446</v>
      </c>
      <c r="D595" s="50" t="s">
        <v>324</v>
      </c>
      <c r="E595" s="101">
        <v>0.035</v>
      </c>
      <c r="F595" s="52">
        <f>TRUNC(178.5,2)</f>
        <v>178.5</v>
      </c>
      <c r="G595" s="53">
        <f t="shared" si="23"/>
        <v>6.24</v>
      </c>
    </row>
    <row r="596" spans="1:7" ht="18.75">
      <c r="A596" s="99"/>
      <c r="B596" s="100" t="s">
        <v>443</v>
      </c>
      <c r="C596" s="49" t="s">
        <v>444</v>
      </c>
      <c r="D596" s="50" t="s">
        <v>52</v>
      </c>
      <c r="E596" s="101">
        <v>0.025</v>
      </c>
      <c r="F596" s="52">
        <f>TRUNC(21.64,2)</f>
        <v>21.64</v>
      </c>
      <c r="G596" s="53">
        <f t="shared" si="23"/>
        <v>0.54</v>
      </c>
    </row>
    <row r="597" spans="1:7" ht="36">
      <c r="A597" s="99"/>
      <c r="B597" s="100" t="s">
        <v>441</v>
      </c>
      <c r="C597" s="49" t="s">
        <v>442</v>
      </c>
      <c r="D597" s="50" t="s">
        <v>324</v>
      </c>
      <c r="E597" s="101">
        <v>0.05</v>
      </c>
      <c r="F597" s="52">
        <f>TRUNC(52.86,2)</f>
        <v>52.86</v>
      </c>
      <c r="G597" s="53">
        <f t="shared" si="23"/>
        <v>2.64</v>
      </c>
    </row>
    <row r="598" spans="1:7" ht="36">
      <c r="A598" s="99"/>
      <c r="B598" s="100" t="s">
        <v>43</v>
      </c>
      <c r="C598" s="49" t="s">
        <v>44</v>
      </c>
      <c r="D598" s="50" t="s">
        <v>7</v>
      </c>
      <c r="E598" s="101">
        <v>0.12875</v>
      </c>
      <c r="F598" s="52">
        <f>TRUNC(12.54,2)</f>
        <v>12.54</v>
      </c>
      <c r="G598" s="53">
        <f t="shared" si="23"/>
        <v>1.61</v>
      </c>
    </row>
    <row r="599" spans="1:7" ht="36">
      <c r="A599" s="99"/>
      <c r="B599" s="100" t="s">
        <v>325</v>
      </c>
      <c r="C599" s="49" t="s">
        <v>447</v>
      </c>
      <c r="D599" s="50" t="s">
        <v>7</v>
      </c>
      <c r="E599" s="101">
        <v>0.2575</v>
      </c>
      <c r="F599" s="52">
        <f>TRUNC(17.3,2)</f>
        <v>17.3</v>
      </c>
      <c r="G599" s="53">
        <f t="shared" si="23"/>
        <v>4.45</v>
      </c>
    </row>
    <row r="600" spans="1:7" ht="18.75">
      <c r="A600" s="99"/>
      <c r="B600" s="100"/>
      <c r="C600" s="49"/>
      <c r="D600" s="50"/>
      <c r="E600" s="101" t="s">
        <v>5</v>
      </c>
      <c r="F600" s="52"/>
      <c r="G600" s="53">
        <f>TRUNC(SUM(G595:G599),2)</f>
        <v>15.48</v>
      </c>
    </row>
    <row r="601" spans="1:7" ht="18.75">
      <c r="A601" s="90"/>
      <c r="B601" s="118"/>
      <c r="C601" s="119"/>
      <c r="D601" s="91"/>
      <c r="E601" s="529" t="s">
        <v>181</v>
      </c>
      <c r="F601" s="529"/>
      <c r="G601" s="126">
        <f>G585+G587+G593</f>
        <v>18677.170000000002</v>
      </c>
    </row>
    <row r="602" spans="1:7" ht="18.75">
      <c r="A602" s="84" t="s">
        <v>233</v>
      </c>
      <c r="B602" s="84"/>
      <c r="C602" s="85" t="s">
        <v>277</v>
      </c>
      <c r="D602" s="86"/>
      <c r="E602" s="87"/>
      <c r="F602" s="88"/>
      <c r="G602" s="89"/>
    </row>
    <row r="603" spans="1:7" ht="18.75">
      <c r="A603" s="105" t="s">
        <v>234</v>
      </c>
      <c r="B603" s="106" t="s">
        <v>205</v>
      </c>
      <c r="C603" s="73" t="s">
        <v>359</v>
      </c>
      <c r="D603" s="74" t="s">
        <v>47</v>
      </c>
      <c r="E603" s="107">
        <v>134.14</v>
      </c>
      <c r="F603" s="76">
        <f>TRUNC(F604,2)</f>
        <v>14.65</v>
      </c>
      <c r="G603" s="77">
        <f>TRUNC((E603*F603),2)</f>
        <v>1965.15</v>
      </c>
    </row>
    <row r="604" spans="1:7" ht="18.75">
      <c r="A604" s="95"/>
      <c r="B604" s="96" t="s">
        <v>205</v>
      </c>
      <c r="C604" s="42" t="s">
        <v>595</v>
      </c>
      <c r="D604" s="43" t="s">
        <v>47</v>
      </c>
      <c r="E604" s="97">
        <v>1</v>
      </c>
      <c r="F604" s="45">
        <v>14.65999984741211</v>
      </c>
      <c r="G604" s="46">
        <f>E604*F604</f>
        <v>14.65999984741211</v>
      </c>
    </row>
    <row r="605" spans="1:7" ht="72">
      <c r="A605" s="105" t="s">
        <v>235</v>
      </c>
      <c r="B605" s="106" t="s">
        <v>287</v>
      </c>
      <c r="C605" s="73" t="s">
        <v>1018</v>
      </c>
      <c r="D605" s="74" t="s">
        <v>0</v>
      </c>
      <c r="E605" s="107">
        <v>3</v>
      </c>
      <c r="F605" s="76">
        <f>TRUNC(F606,2)</f>
        <v>437.27</v>
      </c>
      <c r="G605" s="77">
        <f>TRUNC((E605*F605),2)</f>
        <v>1311.81</v>
      </c>
    </row>
    <row r="606" spans="1:7" ht="108">
      <c r="A606" s="95"/>
      <c r="B606" s="96" t="s">
        <v>287</v>
      </c>
      <c r="C606" s="42" t="s">
        <v>818</v>
      </c>
      <c r="D606" s="43" t="s">
        <v>0</v>
      </c>
      <c r="E606" s="97">
        <v>1</v>
      </c>
      <c r="F606" s="45">
        <f>G623</f>
        <v>437.27</v>
      </c>
      <c r="G606" s="46">
        <f aca="true" t="shared" si="24" ref="G606:G622">TRUNC(E606*F606,2)</f>
        <v>437.27</v>
      </c>
    </row>
    <row r="607" spans="1:7" ht="36">
      <c r="A607" s="99"/>
      <c r="B607" s="100" t="s">
        <v>288</v>
      </c>
      <c r="C607" s="49" t="s">
        <v>463</v>
      </c>
      <c r="D607" s="50" t="s">
        <v>52</v>
      </c>
      <c r="E607" s="101">
        <v>2.1</v>
      </c>
      <c r="F607" s="52">
        <f>TRUNC(4.8901,2)</f>
        <v>4.89</v>
      </c>
      <c r="G607" s="53">
        <f t="shared" si="24"/>
        <v>10.26</v>
      </c>
    </row>
    <row r="608" spans="1:7" ht="54">
      <c r="A608" s="99"/>
      <c r="B608" s="100" t="s">
        <v>289</v>
      </c>
      <c r="C608" s="49" t="s">
        <v>596</v>
      </c>
      <c r="D608" s="50" t="s">
        <v>52</v>
      </c>
      <c r="E608" s="101">
        <v>0.60375</v>
      </c>
      <c r="F608" s="52">
        <f>TRUNC(3.3983,2)</f>
        <v>3.39</v>
      </c>
      <c r="G608" s="53">
        <f t="shared" si="24"/>
        <v>2.04</v>
      </c>
    </row>
    <row r="609" spans="1:7" ht="36">
      <c r="A609" s="99"/>
      <c r="B609" s="100" t="s">
        <v>290</v>
      </c>
      <c r="C609" s="49" t="s">
        <v>597</v>
      </c>
      <c r="D609" s="50" t="s">
        <v>52</v>
      </c>
      <c r="E609" s="101">
        <v>9</v>
      </c>
      <c r="F609" s="52">
        <f>TRUNC(3.125,2)</f>
        <v>3.12</v>
      </c>
      <c r="G609" s="53">
        <f t="shared" si="24"/>
        <v>28.08</v>
      </c>
    </row>
    <row r="610" spans="1:7" ht="18.75">
      <c r="A610" s="99"/>
      <c r="B610" s="100" t="s">
        <v>183</v>
      </c>
      <c r="C610" s="49" t="s">
        <v>461</v>
      </c>
      <c r="D610" s="50" t="s">
        <v>52</v>
      </c>
      <c r="E610" s="101">
        <v>1.165</v>
      </c>
      <c r="F610" s="52">
        <f>TRUNC(5.47,2)</f>
        <v>5.47</v>
      </c>
      <c r="G610" s="53">
        <f t="shared" si="24"/>
        <v>6.37</v>
      </c>
    </row>
    <row r="611" spans="1:7" ht="36">
      <c r="A611" s="99"/>
      <c r="B611" s="100" t="s">
        <v>43</v>
      </c>
      <c r="C611" s="49" t="s">
        <v>44</v>
      </c>
      <c r="D611" s="50" t="s">
        <v>7</v>
      </c>
      <c r="E611" s="101">
        <v>4.12</v>
      </c>
      <c r="F611" s="52">
        <f>TRUNC(12.54,2)</f>
        <v>12.54</v>
      </c>
      <c r="G611" s="53">
        <f t="shared" si="24"/>
        <v>51.66</v>
      </c>
    </row>
    <row r="612" spans="1:7" ht="36">
      <c r="A612" s="99"/>
      <c r="B612" s="100" t="s">
        <v>291</v>
      </c>
      <c r="C612" s="49" t="s">
        <v>466</v>
      </c>
      <c r="D612" s="50" t="s">
        <v>7</v>
      </c>
      <c r="E612" s="101">
        <v>2.2660000000000005</v>
      </c>
      <c r="F612" s="52">
        <f>TRUNC(17.3,2)</f>
        <v>17.3</v>
      </c>
      <c r="G612" s="53">
        <f t="shared" si="24"/>
        <v>39.2</v>
      </c>
    </row>
    <row r="613" spans="1:7" ht="36">
      <c r="A613" s="99"/>
      <c r="B613" s="100" t="s">
        <v>46</v>
      </c>
      <c r="C613" s="49" t="s">
        <v>458</v>
      </c>
      <c r="D613" s="50" t="s">
        <v>7</v>
      </c>
      <c r="E613" s="101">
        <v>2.06</v>
      </c>
      <c r="F613" s="52">
        <f>TRUNC(17.3,2)</f>
        <v>17.3</v>
      </c>
      <c r="G613" s="53">
        <f t="shared" si="24"/>
        <v>35.63</v>
      </c>
    </row>
    <row r="614" spans="1:7" ht="36">
      <c r="A614" s="99"/>
      <c r="B614" s="100" t="s">
        <v>220</v>
      </c>
      <c r="C614" s="49" t="s">
        <v>552</v>
      </c>
      <c r="D614" s="50" t="s">
        <v>7</v>
      </c>
      <c r="E614" s="101">
        <v>2.3999</v>
      </c>
      <c r="F614" s="52">
        <f>TRUNC(18.63,2)</f>
        <v>18.63</v>
      </c>
      <c r="G614" s="53">
        <f t="shared" si="24"/>
        <v>44.71</v>
      </c>
    </row>
    <row r="615" spans="1:7" ht="18.75">
      <c r="A615" s="99"/>
      <c r="B615" s="100" t="s">
        <v>294</v>
      </c>
      <c r="C615" s="49" t="s">
        <v>598</v>
      </c>
      <c r="D615" s="50" t="s">
        <v>7</v>
      </c>
      <c r="E615" s="101">
        <v>1</v>
      </c>
      <c r="F615" s="52">
        <f>TRUNC(30.727,2)</f>
        <v>30.72</v>
      </c>
      <c r="G615" s="53">
        <f t="shared" si="24"/>
        <v>30.72</v>
      </c>
    </row>
    <row r="616" spans="1:7" ht="18.75">
      <c r="A616" s="99"/>
      <c r="B616" s="100" t="s">
        <v>292</v>
      </c>
      <c r="C616" s="49" t="s">
        <v>599</v>
      </c>
      <c r="D616" s="50" t="s">
        <v>42</v>
      </c>
      <c r="E616" s="101">
        <v>0.13</v>
      </c>
      <c r="F616" s="52">
        <f>TRUNC(86.4323,2)</f>
        <v>86.43</v>
      </c>
      <c r="G616" s="53">
        <f t="shared" si="24"/>
        <v>11.23</v>
      </c>
    </row>
    <row r="617" spans="1:7" ht="18.75">
      <c r="A617" s="99"/>
      <c r="B617" s="100" t="s">
        <v>293</v>
      </c>
      <c r="C617" s="49" t="s">
        <v>600</v>
      </c>
      <c r="D617" s="50" t="s">
        <v>42</v>
      </c>
      <c r="E617" s="101">
        <v>0.13</v>
      </c>
      <c r="F617" s="52">
        <f>TRUNC(133.5257,2)</f>
        <v>133.52</v>
      </c>
      <c r="G617" s="53">
        <f t="shared" si="24"/>
        <v>17.35</v>
      </c>
    </row>
    <row r="618" spans="1:7" ht="18.75">
      <c r="A618" s="99"/>
      <c r="B618" s="100" t="s">
        <v>187</v>
      </c>
      <c r="C618" s="49" t="s">
        <v>588</v>
      </c>
      <c r="D618" s="50" t="s">
        <v>47</v>
      </c>
      <c r="E618" s="101">
        <v>0.9</v>
      </c>
      <c r="F618" s="52">
        <f>TRUNC(20.9843,2)</f>
        <v>20.98</v>
      </c>
      <c r="G618" s="53">
        <f t="shared" si="24"/>
        <v>18.88</v>
      </c>
    </row>
    <row r="619" spans="1:7" ht="18.75">
      <c r="A619" s="99"/>
      <c r="B619" s="100" t="s">
        <v>283</v>
      </c>
      <c r="C619" s="49" t="s">
        <v>601</v>
      </c>
      <c r="D619" s="50" t="s">
        <v>7</v>
      </c>
      <c r="E619" s="101">
        <v>0.5</v>
      </c>
      <c r="F619" s="52">
        <f>TRUNC(116.5146,2)</f>
        <v>116.51</v>
      </c>
      <c r="G619" s="53">
        <f t="shared" si="24"/>
        <v>58.25</v>
      </c>
    </row>
    <row r="620" spans="1:7" ht="18.75">
      <c r="A620" s="99"/>
      <c r="B620" s="100" t="s">
        <v>284</v>
      </c>
      <c r="C620" s="49" t="s">
        <v>602</v>
      </c>
      <c r="D620" s="50" t="s">
        <v>7</v>
      </c>
      <c r="E620" s="101">
        <v>1</v>
      </c>
      <c r="F620" s="52">
        <f>TRUNC(38.1272,2)</f>
        <v>38.12</v>
      </c>
      <c r="G620" s="53">
        <f t="shared" si="24"/>
        <v>38.12</v>
      </c>
    </row>
    <row r="621" spans="1:7" ht="18.75">
      <c r="A621" s="99"/>
      <c r="B621" s="100" t="s">
        <v>264</v>
      </c>
      <c r="C621" s="49" t="s">
        <v>585</v>
      </c>
      <c r="D621" s="50" t="s">
        <v>7</v>
      </c>
      <c r="E621" s="101">
        <v>0.5</v>
      </c>
      <c r="F621" s="52">
        <f>TRUNC(34.7607,2)</f>
        <v>34.76</v>
      </c>
      <c r="G621" s="53">
        <f t="shared" si="24"/>
        <v>17.38</v>
      </c>
    </row>
    <row r="622" spans="1:7" ht="18.75">
      <c r="A622" s="99"/>
      <c r="B622" s="100" t="s">
        <v>51</v>
      </c>
      <c r="C622" s="49" t="s">
        <v>534</v>
      </c>
      <c r="D622" s="50" t="s">
        <v>42</v>
      </c>
      <c r="E622" s="101">
        <v>0.13</v>
      </c>
      <c r="F622" s="52">
        <f>TRUNC(210.7543,2)</f>
        <v>210.75</v>
      </c>
      <c r="G622" s="53">
        <f t="shared" si="24"/>
        <v>27.39</v>
      </c>
    </row>
    <row r="623" spans="1:7" ht="18.75">
      <c r="A623" s="99"/>
      <c r="B623" s="100"/>
      <c r="C623" s="49"/>
      <c r="D623" s="50"/>
      <c r="E623" s="101" t="s">
        <v>5</v>
      </c>
      <c r="F623" s="52"/>
      <c r="G623" s="53">
        <f>TRUNC(SUM(G607:G622),2)</f>
        <v>437.27</v>
      </c>
    </row>
    <row r="624" spans="1:7" ht="108">
      <c r="A624" s="105" t="s">
        <v>460</v>
      </c>
      <c r="B624" s="106" t="s">
        <v>450</v>
      </c>
      <c r="C624" s="73" t="s">
        <v>459</v>
      </c>
      <c r="D624" s="74" t="s">
        <v>42</v>
      </c>
      <c r="E624" s="107">
        <v>0.4</v>
      </c>
      <c r="F624" s="76">
        <f>TRUNC(F625,2)</f>
        <v>1446.62</v>
      </c>
      <c r="G624" s="77">
        <f>TRUNC((E624*F624),2)</f>
        <v>578.64</v>
      </c>
    </row>
    <row r="625" spans="1:7" ht="108">
      <c r="A625" s="209"/>
      <c r="B625" s="209" t="s">
        <v>450</v>
      </c>
      <c r="C625" s="210" t="s">
        <v>819</v>
      </c>
      <c r="D625" s="209" t="s">
        <v>42</v>
      </c>
      <c r="E625" s="209">
        <v>1</v>
      </c>
      <c r="F625" s="209">
        <f>G632</f>
        <v>1446.62</v>
      </c>
      <c r="G625" s="209">
        <f aca="true" t="shared" si="25" ref="G625:G631">TRUNC(E625*F625,2)</f>
        <v>1446.62</v>
      </c>
    </row>
    <row r="626" spans="1:7" ht="36">
      <c r="A626" s="209"/>
      <c r="B626" s="209" t="s">
        <v>456</v>
      </c>
      <c r="C626" s="210" t="s">
        <v>457</v>
      </c>
      <c r="D626" s="209" t="s">
        <v>52</v>
      </c>
      <c r="E626" s="209">
        <v>24</v>
      </c>
      <c r="F626" s="209">
        <f>TRUNC(1.26,2)</f>
        <v>1.26</v>
      </c>
      <c r="G626" s="209">
        <f t="shared" si="25"/>
        <v>30.24</v>
      </c>
    </row>
    <row r="627" spans="1:7" ht="18.75">
      <c r="A627" s="209"/>
      <c r="B627" s="209" t="s">
        <v>454</v>
      </c>
      <c r="C627" s="210" t="s">
        <v>455</v>
      </c>
      <c r="D627" s="209" t="s">
        <v>52</v>
      </c>
      <c r="E627" s="209">
        <v>50</v>
      </c>
      <c r="F627" s="209">
        <f>TRUNC(19.7983,2)</f>
        <v>19.79</v>
      </c>
      <c r="G627" s="209">
        <f t="shared" si="25"/>
        <v>989.5</v>
      </c>
    </row>
    <row r="628" spans="1:7" ht="18.75">
      <c r="A628" s="209"/>
      <c r="B628" s="209" t="s">
        <v>453</v>
      </c>
      <c r="C628" s="210" t="s">
        <v>542</v>
      </c>
      <c r="D628" s="209" t="s">
        <v>52</v>
      </c>
      <c r="E628" s="209">
        <v>400</v>
      </c>
      <c r="F628" s="209">
        <f>TRUNC(0.34,2)</f>
        <v>0.34</v>
      </c>
      <c r="G628" s="209">
        <f t="shared" si="25"/>
        <v>136</v>
      </c>
    </row>
    <row r="629" spans="1:7" ht="36">
      <c r="A629" s="209"/>
      <c r="B629" s="209" t="s">
        <v>451</v>
      </c>
      <c r="C629" s="210" t="s">
        <v>452</v>
      </c>
      <c r="D629" s="209" t="s">
        <v>42</v>
      </c>
      <c r="E629" s="209">
        <v>1.265</v>
      </c>
      <c r="F629" s="209">
        <f>TRUNC(56,2)</f>
        <v>56</v>
      </c>
      <c r="G629" s="209">
        <f t="shared" si="25"/>
        <v>70.84</v>
      </c>
    </row>
    <row r="630" spans="1:7" ht="36">
      <c r="A630" s="209"/>
      <c r="B630" s="209" t="s">
        <v>43</v>
      </c>
      <c r="C630" s="210" t="s">
        <v>44</v>
      </c>
      <c r="D630" s="209" t="s">
        <v>7</v>
      </c>
      <c r="E630" s="209">
        <v>6.18</v>
      </c>
      <c r="F630" s="209">
        <f>TRUNC(12.54,2)</f>
        <v>12.54</v>
      </c>
      <c r="G630" s="209">
        <f t="shared" si="25"/>
        <v>77.49</v>
      </c>
    </row>
    <row r="631" spans="1:7" ht="36">
      <c r="A631" s="209"/>
      <c r="B631" s="209" t="s">
        <v>46</v>
      </c>
      <c r="C631" s="210" t="s">
        <v>458</v>
      </c>
      <c r="D631" s="209" t="s">
        <v>7</v>
      </c>
      <c r="E631" s="209">
        <v>8.24</v>
      </c>
      <c r="F631" s="209">
        <f>TRUNC(17.3,2)</f>
        <v>17.3</v>
      </c>
      <c r="G631" s="209">
        <f t="shared" si="25"/>
        <v>142.55</v>
      </c>
    </row>
    <row r="632" spans="1:7" ht="18.75">
      <c r="A632" s="209"/>
      <c r="B632" s="209"/>
      <c r="C632" s="210"/>
      <c r="D632" s="209"/>
      <c r="E632" s="209" t="s">
        <v>5</v>
      </c>
      <c r="F632" s="209"/>
      <c r="G632" s="209">
        <f>TRUNC(SUM(G626:G631),2)</f>
        <v>1446.62</v>
      </c>
    </row>
    <row r="633" spans="1:7" ht="18.75">
      <c r="A633" s="90"/>
      <c r="B633" s="118"/>
      <c r="C633" s="119"/>
      <c r="D633" s="91"/>
      <c r="E633" s="529" t="s">
        <v>236</v>
      </c>
      <c r="F633" s="529"/>
      <c r="G633" s="126">
        <f>G603+G605+G624</f>
        <v>3855.6</v>
      </c>
    </row>
    <row r="634" spans="1:7" ht="18.75">
      <c r="A634" s="84" t="s">
        <v>278</v>
      </c>
      <c r="B634" s="84"/>
      <c r="C634" s="85" t="s">
        <v>360</v>
      </c>
      <c r="D634" s="86"/>
      <c r="E634" s="87"/>
      <c r="F634" s="88"/>
      <c r="G634" s="89"/>
    </row>
    <row r="635" spans="1:7" ht="90">
      <c r="A635" s="109" t="s">
        <v>279</v>
      </c>
      <c r="B635" s="110" t="s">
        <v>76</v>
      </c>
      <c r="C635" s="63" t="s">
        <v>83</v>
      </c>
      <c r="D635" s="64" t="s">
        <v>50</v>
      </c>
      <c r="E635" s="111">
        <v>154.82</v>
      </c>
      <c r="F635" s="66">
        <f>TRUNC(F636,2)</f>
        <v>0.97</v>
      </c>
      <c r="G635" s="67">
        <f>TRUNC((E635*F635),2)</f>
        <v>150.17</v>
      </c>
    </row>
    <row r="636" spans="1:7" ht="90">
      <c r="A636" s="95"/>
      <c r="B636" s="96" t="s">
        <v>76</v>
      </c>
      <c r="C636" s="42" t="s">
        <v>77</v>
      </c>
      <c r="D636" s="43" t="s">
        <v>50</v>
      </c>
      <c r="E636" s="97">
        <v>1</v>
      </c>
      <c r="F636" s="45">
        <f>G639</f>
        <v>0.9700627</v>
      </c>
      <c r="G636" s="46">
        <f>E636*F636</f>
        <v>0.9700627</v>
      </c>
    </row>
    <row r="637" spans="1:7" ht="18.75">
      <c r="A637" s="99"/>
      <c r="B637" s="100" t="s">
        <v>56</v>
      </c>
      <c r="C637" s="49" t="s">
        <v>603</v>
      </c>
      <c r="D637" s="50" t="s">
        <v>7</v>
      </c>
      <c r="E637" s="101">
        <v>0.005</v>
      </c>
      <c r="F637" s="52">
        <v>126.2343</v>
      </c>
      <c r="G637" s="53">
        <f>E637*F637</f>
        <v>0.6311715</v>
      </c>
    </row>
    <row r="638" spans="1:7" ht="18.75">
      <c r="A638" s="99"/>
      <c r="B638" s="100" t="s">
        <v>57</v>
      </c>
      <c r="C638" s="49" t="s">
        <v>604</v>
      </c>
      <c r="D638" s="50" t="s">
        <v>7</v>
      </c>
      <c r="E638" s="101">
        <v>0.008</v>
      </c>
      <c r="F638" s="52">
        <v>42.3614</v>
      </c>
      <c r="G638" s="53">
        <f>E638*F638</f>
        <v>0.33889120000000006</v>
      </c>
    </row>
    <row r="639" spans="1:7" ht="18.75">
      <c r="A639" s="102"/>
      <c r="B639" s="103"/>
      <c r="C639" s="56"/>
      <c r="D639" s="57"/>
      <c r="E639" s="104" t="s">
        <v>5</v>
      </c>
      <c r="F639" s="59"/>
      <c r="G639" s="60">
        <f>SUM(G637:G638)</f>
        <v>0.9700627</v>
      </c>
    </row>
    <row r="640" spans="1:7" ht="72">
      <c r="A640" s="109" t="s">
        <v>280</v>
      </c>
      <c r="B640" s="110" t="s">
        <v>74</v>
      </c>
      <c r="C640" s="63" t="s">
        <v>313</v>
      </c>
      <c r="D640" s="64" t="s">
        <v>58</v>
      </c>
      <c r="E640" s="111">
        <f>E635*28</f>
        <v>4334.96</v>
      </c>
      <c r="F640" s="66">
        <f>TRUNC(F641,2)</f>
        <v>1.04</v>
      </c>
      <c r="G640" s="67">
        <f>TRUNC((E640*F640),2)</f>
        <v>4508.35</v>
      </c>
    </row>
    <row r="641" spans="1:7" ht="72">
      <c r="A641" s="95"/>
      <c r="B641" s="96" t="s">
        <v>74</v>
      </c>
      <c r="C641" s="42" t="s">
        <v>78</v>
      </c>
      <c r="D641" s="43" t="s">
        <v>58</v>
      </c>
      <c r="E641" s="97">
        <v>1</v>
      </c>
      <c r="F641" s="45">
        <f>G643</f>
        <v>1.04774469</v>
      </c>
      <c r="G641" s="46">
        <f>E641*F641</f>
        <v>1.04774469</v>
      </c>
    </row>
    <row r="642" spans="1:7" ht="18.75">
      <c r="A642" s="99"/>
      <c r="B642" s="100" t="s">
        <v>56</v>
      </c>
      <c r="C642" s="49" t="s">
        <v>603</v>
      </c>
      <c r="D642" s="50" t="s">
        <v>7</v>
      </c>
      <c r="E642" s="101">
        <v>0.0083</v>
      </c>
      <c r="F642" s="52">
        <v>126.2343</v>
      </c>
      <c r="G642" s="53">
        <f>E642*F642</f>
        <v>1.04774469</v>
      </c>
    </row>
    <row r="643" spans="1:7" ht="18.75">
      <c r="A643" s="102"/>
      <c r="B643" s="103"/>
      <c r="C643" s="56"/>
      <c r="D643" s="57"/>
      <c r="E643" s="104" t="s">
        <v>5</v>
      </c>
      <c r="F643" s="59"/>
      <c r="G643" s="60">
        <f>SUM(G642:G642)</f>
        <v>1.04774469</v>
      </c>
    </row>
    <row r="644" spans="1:7" ht="54">
      <c r="A644" s="109" t="s">
        <v>281</v>
      </c>
      <c r="B644" s="110" t="s">
        <v>75</v>
      </c>
      <c r="C644" s="63" t="s">
        <v>84</v>
      </c>
      <c r="D644" s="64" t="s">
        <v>42</v>
      </c>
      <c r="E644" s="111">
        <v>83.83</v>
      </c>
      <c r="F644" s="66">
        <f>TRUNC(F645,2)</f>
        <v>54</v>
      </c>
      <c r="G644" s="67">
        <f>TRUNC((E644*F644),2)</f>
        <v>4526.82</v>
      </c>
    </row>
    <row r="645" spans="1:7" ht="54">
      <c r="A645" s="95"/>
      <c r="B645" s="96" t="s">
        <v>75</v>
      </c>
      <c r="C645" s="42" t="s">
        <v>79</v>
      </c>
      <c r="D645" s="43" t="s">
        <v>42</v>
      </c>
      <c r="E645" s="97">
        <v>1</v>
      </c>
      <c r="F645" s="45">
        <f>G647</f>
        <v>54</v>
      </c>
      <c r="G645" s="46">
        <f>E645*F645</f>
        <v>54</v>
      </c>
    </row>
    <row r="646" spans="1:7" ht="36">
      <c r="A646" s="99"/>
      <c r="B646" s="100" t="s">
        <v>605</v>
      </c>
      <c r="C646" s="49" t="s">
        <v>80</v>
      </c>
      <c r="D646" s="50" t="s">
        <v>42</v>
      </c>
      <c r="E646" s="101">
        <v>1</v>
      </c>
      <c r="F646" s="52">
        <v>54</v>
      </c>
      <c r="G646" s="53">
        <f>E646*F646</f>
        <v>54</v>
      </c>
    </row>
    <row r="647" spans="1:7" ht="18.75">
      <c r="A647" s="102"/>
      <c r="B647" s="103"/>
      <c r="C647" s="56"/>
      <c r="D647" s="57"/>
      <c r="E647" s="104" t="s">
        <v>5</v>
      </c>
      <c r="F647" s="59"/>
      <c r="G647" s="60">
        <f>SUM(G646:G646)</f>
        <v>54</v>
      </c>
    </row>
    <row r="648" spans="1:7" ht="72">
      <c r="A648" s="109" t="s">
        <v>295</v>
      </c>
      <c r="B648" s="179" t="s">
        <v>297</v>
      </c>
      <c r="C648" s="63" t="s">
        <v>361</v>
      </c>
      <c r="D648" s="64" t="s">
        <v>50</v>
      </c>
      <c r="E648" s="111">
        <f>6*7.5</f>
        <v>45</v>
      </c>
      <c r="F648" s="66">
        <f>TRUNC(F649,2)</f>
        <v>67.81</v>
      </c>
      <c r="G648" s="67">
        <f>TRUNC((E648*F648),2)</f>
        <v>3051.45</v>
      </c>
    </row>
    <row r="649" spans="1:7" ht="72">
      <c r="A649" s="95"/>
      <c r="B649" s="96" t="s">
        <v>297</v>
      </c>
      <c r="C649" s="42" t="s">
        <v>361</v>
      </c>
      <c r="D649" s="43" t="s">
        <v>50</v>
      </c>
      <c r="E649" s="97">
        <v>1</v>
      </c>
      <c r="F649" s="45">
        <f>G653</f>
        <v>67.8100584</v>
      </c>
      <c r="G649" s="46">
        <f>E649*F649</f>
        <v>67.8100584</v>
      </c>
    </row>
    <row r="650" spans="1:7" ht="36">
      <c r="A650" s="99"/>
      <c r="B650" s="100" t="s">
        <v>43</v>
      </c>
      <c r="C650" s="49" t="s">
        <v>44</v>
      </c>
      <c r="D650" s="50" t="s">
        <v>7</v>
      </c>
      <c r="E650" s="101">
        <v>3.09</v>
      </c>
      <c r="F650" s="52">
        <v>12.54</v>
      </c>
      <c r="G650" s="53">
        <f>E650*F650</f>
        <v>38.748599999999996</v>
      </c>
    </row>
    <row r="651" spans="1:7" ht="18.75">
      <c r="A651" s="99"/>
      <c r="B651" s="100" t="s">
        <v>283</v>
      </c>
      <c r="C651" s="49" t="s">
        <v>601</v>
      </c>
      <c r="D651" s="50" t="s">
        <v>7</v>
      </c>
      <c r="E651" s="101">
        <v>0.004</v>
      </c>
      <c r="F651" s="52">
        <v>116.5146</v>
      </c>
      <c r="G651" s="53">
        <f>E651*F651</f>
        <v>0.46605840000000004</v>
      </c>
    </row>
    <row r="652" spans="1:7" ht="18.75">
      <c r="A652" s="99"/>
      <c r="B652" s="100" t="s">
        <v>284</v>
      </c>
      <c r="C652" s="49" t="s">
        <v>602</v>
      </c>
      <c r="D652" s="50" t="s">
        <v>7</v>
      </c>
      <c r="E652" s="101">
        <v>0.75</v>
      </c>
      <c r="F652" s="52">
        <v>38.1272</v>
      </c>
      <c r="G652" s="53">
        <f>E652*F652</f>
        <v>28.5954</v>
      </c>
    </row>
    <row r="653" spans="1:7" ht="18.75">
      <c r="A653" s="102"/>
      <c r="B653" s="103"/>
      <c r="C653" s="56"/>
      <c r="D653" s="57"/>
      <c r="E653" s="104" t="s">
        <v>5</v>
      </c>
      <c r="F653" s="59"/>
      <c r="G653" s="60">
        <f>SUM(G650:G652)</f>
        <v>67.8100584</v>
      </c>
    </row>
    <row r="654" spans="1:7" ht="72">
      <c r="A654" s="109" t="s">
        <v>296</v>
      </c>
      <c r="B654" s="179" t="s">
        <v>298</v>
      </c>
      <c r="C654" s="63" t="s">
        <v>948</v>
      </c>
      <c r="D654" s="64" t="s">
        <v>58</v>
      </c>
      <c r="E654" s="111">
        <f>45*24.5</f>
        <v>1102.5</v>
      </c>
      <c r="F654" s="66">
        <f>TRUNC(F655,2)</f>
        <v>1.03</v>
      </c>
      <c r="G654" s="68">
        <f>TRUNC((E654*F654),2)</f>
        <v>1135.57</v>
      </c>
    </row>
    <row r="655" spans="1:7" ht="72">
      <c r="A655" s="95"/>
      <c r="B655" s="96" t="s">
        <v>298</v>
      </c>
      <c r="C655" s="42" t="s">
        <v>374</v>
      </c>
      <c r="D655" s="43" t="s">
        <v>58</v>
      </c>
      <c r="E655" s="97">
        <v>1</v>
      </c>
      <c r="F655" s="45">
        <f>G656</f>
        <v>1.03697994</v>
      </c>
      <c r="G655" s="46">
        <f>E655*F655</f>
        <v>1.03697994</v>
      </c>
    </row>
    <row r="656" spans="1:7" ht="18.75">
      <c r="A656" s="99"/>
      <c r="B656" s="100" t="s">
        <v>283</v>
      </c>
      <c r="C656" s="49" t="s">
        <v>601</v>
      </c>
      <c r="D656" s="50" t="s">
        <v>7</v>
      </c>
      <c r="E656" s="101">
        <v>0.0089</v>
      </c>
      <c r="F656" s="52">
        <v>116.5146</v>
      </c>
      <c r="G656" s="53">
        <f>E656*F656</f>
        <v>1.03697994</v>
      </c>
    </row>
    <row r="657" spans="1:7" ht="18.75">
      <c r="A657" s="102"/>
      <c r="B657" s="103"/>
      <c r="C657" s="56"/>
      <c r="D657" s="57"/>
      <c r="E657" s="104" t="s">
        <v>5</v>
      </c>
      <c r="F657" s="59"/>
      <c r="G657" s="60">
        <f>SUM(G656:G656)</f>
        <v>1.03697994</v>
      </c>
    </row>
    <row r="658" spans="1:7" ht="18.75">
      <c r="A658" s="79"/>
      <c r="B658" s="117"/>
      <c r="C658" s="80"/>
      <c r="D658" s="81"/>
      <c r="E658" s="535" t="s">
        <v>282</v>
      </c>
      <c r="F658" s="535"/>
      <c r="G658" s="82">
        <f>G635+G640+G644+G648+G654</f>
        <v>13372.36</v>
      </c>
    </row>
    <row r="660" spans="6:7" ht="18.75">
      <c r="F660" s="123" t="s">
        <v>35</v>
      </c>
      <c r="G660" s="124">
        <f>G134+G199+G416+G583+G601+G633+G658</f>
        <v>299214.01999999996</v>
      </c>
    </row>
    <row r="661" spans="5:7" ht="18.75">
      <c r="E661" s="534" t="s">
        <v>820</v>
      </c>
      <c r="F661" s="534"/>
      <c r="G661" s="124">
        <f>TRUNC((G660*1.2882),2)</f>
        <v>385447.5</v>
      </c>
    </row>
  </sheetData>
  <sheetProtection/>
  <mergeCells count="23">
    <mergeCell ref="E661:F661"/>
    <mergeCell ref="E601:F601"/>
    <mergeCell ref="E633:F633"/>
    <mergeCell ref="E658:F658"/>
    <mergeCell ref="E134:F134"/>
    <mergeCell ref="E583:F583"/>
    <mergeCell ref="E199:F199"/>
    <mergeCell ref="D6:G6"/>
    <mergeCell ref="D7:G7"/>
    <mergeCell ref="D10:D11"/>
    <mergeCell ref="E10:E11"/>
    <mergeCell ref="F10:G10"/>
    <mergeCell ref="D8:G8"/>
    <mergeCell ref="D3:H3"/>
    <mergeCell ref="B10:B11"/>
    <mergeCell ref="C10:C11"/>
    <mergeCell ref="A222:G222"/>
    <mergeCell ref="A211:G211"/>
    <mergeCell ref="E416:F416"/>
    <mergeCell ref="A9:G9"/>
    <mergeCell ref="A10:A11"/>
    <mergeCell ref="D4:G4"/>
    <mergeCell ref="D5:G5"/>
  </mergeCells>
  <printOptions horizontalCentered="1"/>
  <pageMargins left="0.984251968503937" right="0.7874015748031497" top="0.7874015748031497" bottom="0.7874015748031497" header="0.31496062992125984" footer="0.31496062992125984"/>
  <pageSetup fitToHeight="1000" horizontalDpi="300" verticalDpi="300" orientation="portrait" paperSize="9" scale="35" r:id="rId2"/>
  <headerFooter>
    <oddFooter>&amp;C&amp;A&amp;RPágina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"/>
  <dimension ref="A1:I97"/>
  <sheetViews>
    <sheetView view="pageBreakPreview" zoomScale="70" zoomScaleSheetLayoutView="70" zoomScalePageLayoutView="0" workbookViewId="0" topLeftCell="A32">
      <selection activeCell="A43" sqref="A43"/>
    </sheetView>
  </sheetViews>
  <sheetFormatPr defaultColWidth="9.140625" defaultRowHeight="15"/>
  <cols>
    <col min="1" max="1" width="17.8515625" style="120" customWidth="1"/>
    <col min="2" max="2" width="20.57421875" style="120" customWidth="1"/>
    <col min="3" max="3" width="115.57421875" style="121" customWidth="1"/>
    <col min="4" max="4" width="11.00390625" style="120" customWidth="1"/>
    <col min="5" max="5" width="18.28125" style="122" bestFit="1" customWidth="1"/>
    <col min="6" max="6" width="16.57421875" style="123" bestFit="1" customWidth="1"/>
    <col min="7" max="7" width="21.421875" style="124" bestFit="1" customWidth="1"/>
    <col min="8" max="8" width="10.421875" style="21" bestFit="1" customWidth="1"/>
    <col min="9" max="9" width="19.57421875" style="21" bestFit="1" customWidth="1"/>
    <col min="10" max="16384" width="9.140625" style="21" customWidth="1"/>
  </cols>
  <sheetData>
    <row r="1" spans="1:7" ht="22.5" customHeight="1">
      <c r="A1" s="19"/>
      <c r="B1" s="20"/>
      <c r="C1" s="137" t="s">
        <v>38</v>
      </c>
      <c r="D1" s="129"/>
      <c r="E1" s="130"/>
      <c r="F1" s="131"/>
      <c r="G1" s="132"/>
    </row>
    <row r="2" spans="1:7" ht="22.5" customHeight="1">
      <c r="A2" s="22"/>
      <c r="B2" s="23"/>
      <c r="C2" s="127" t="s">
        <v>39</v>
      </c>
      <c r="D2" s="133"/>
      <c r="E2" s="134"/>
      <c r="F2" s="135"/>
      <c r="G2" s="136"/>
    </row>
    <row r="3" spans="1:8" ht="23.25">
      <c r="A3" s="22"/>
      <c r="B3" s="23"/>
      <c r="C3" s="127" t="s">
        <v>40</v>
      </c>
      <c r="D3" s="509" t="s">
        <v>1029</v>
      </c>
      <c r="E3" s="510"/>
      <c r="F3" s="510"/>
      <c r="G3" s="510"/>
      <c r="H3" s="510"/>
    </row>
    <row r="4" spans="1:7" ht="15" customHeight="1">
      <c r="A4" s="22"/>
      <c r="B4" s="23"/>
      <c r="C4" s="128" t="s">
        <v>857</v>
      </c>
      <c r="D4" s="497" t="s">
        <v>1037</v>
      </c>
      <c r="E4" s="498"/>
      <c r="F4" s="498"/>
      <c r="G4" s="499"/>
    </row>
    <row r="5" spans="1:7" ht="16.5" customHeight="1">
      <c r="A5" s="22"/>
      <c r="B5" s="23"/>
      <c r="C5" s="128" t="s">
        <v>191</v>
      </c>
      <c r="D5" s="500" t="s">
        <v>192</v>
      </c>
      <c r="E5" s="501"/>
      <c r="F5" s="501"/>
      <c r="G5" s="502"/>
    </row>
    <row r="6" spans="1:7" ht="16.5" customHeight="1">
      <c r="A6" s="22"/>
      <c r="B6" s="23"/>
      <c r="C6" s="24" t="s">
        <v>742</v>
      </c>
      <c r="D6" s="503" t="s">
        <v>193</v>
      </c>
      <c r="E6" s="504"/>
      <c r="F6" s="504"/>
      <c r="G6" s="505"/>
    </row>
    <row r="7" spans="1:7" ht="16.5" customHeight="1">
      <c r="A7" s="22"/>
      <c r="B7" s="23"/>
      <c r="C7" s="25" t="s">
        <v>606</v>
      </c>
      <c r="D7" s="503" t="s">
        <v>86</v>
      </c>
      <c r="E7" s="504"/>
      <c r="F7" s="504"/>
      <c r="G7" s="505"/>
    </row>
    <row r="8" spans="1:7" ht="16.5" customHeight="1">
      <c r="A8" s="26"/>
      <c r="B8" s="27"/>
      <c r="C8" s="28"/>
      <c r="D8" s="506" t="s">
        <v>743</v>
      </c>
      <c r="E8" s="507"/>
      <c r="F8" s="507"/>
      <c r="G8" s="508"/>
    </row>
    <row r="9" spans="1:7" ht="16.5" customHeight="1">
      <c r="A9" s="537" t="s">
        <v>85</v>
      </c>
      <c r="B9" s="538"/>
      <c r="C9" s="539"/>
      <c r="D9" s="539"/>
      <c r="E9" s="539"/>
      <c r="F9" s="539"/>
      <c r="G9" s="539"/>
    </row>
    <row r="10" spans="1:7" ht="15.75" customHeight="1">
      <c r="A10" s="532" t="s">
        <v>1</v>
      </c>
      <c r="B10" s="527" t="s">
        <v>87</v>
      </c>
      <c r="C10" s="527" t="s">
        <v>2</v>
      </c>
      <c r="D10" s="532" t="s">
        <v>0</v>
      </c>
      <c r="E10" s="533" t="s">
        <v>3</v>
      </c>
      <c r="F10" s="533" t="s">
        <v>6</v>
      </c>
      <c r="G10" s="533"/>
    </row>
    <row r="11" spans="1:7" ht="18.75">
      <c r="A11" s="532"/>
      <c r="B11" s="527"/>
      <c r="C11" s="527"/>
      <c r="D11" s="532"/>
      <c r="E11" s="533"/>
      <c r="F11" s="16" t="s">
        <v>4</v>
      </c>
      <c r="G11" s="18" t="s">
        <v>5</v>
      </c>
    </row>
    <row r="12" spans="1:8" ht="18.75">
      <c r="A12" s="183" t="s">
        <v>16</v>
      </c>
      <c r="B12" s="183"/>
      <c r="C12" s="184" t="s">
        <v>59</v>
      </c>
      <c r="D12" s="185"/>
      <c r="E12" s="186"/>
      <c r="F12" s="187"/>
      <c r="G12" s="188"/>
      <c r="H12" s="189"/>
    </row>
    <row r="13" spans="1:8" ht="18.75">
      <c r="A13" s="185" t="s">
        <v>21</v>
      </c>
      <c r="B13" s="185" t="s">
        <v>321</v>
      </c>
      <c r="C13" s="190" t="s">
        <v>327</v>
      </c>
      <c r="D13" s="185" t="s">
        <v>47</v>
      </c>
      <c r="E13" s="191">
        <v>12</v>
      </c>
      <c r="F13" s="192">
        <f>MEMÓRIA!F13</f>
        <v>306.82</v>
      </c>
      <c r="G13" s="188">
        <f aca="true" t="shared" si="0" ref="G13:G26">TRUNC((E13*F13),2)</f>
        <v>3681.84</v>
      </c>
      <c r="H13" s="189">
        <f aca="true" t="shared" si="1" ref="H13:H26">TRUNC((F13*1.2592),2)</f>
        <v>386.34</v>
      </c>
    </row>
    <row r="14" spans="1:8" ht="45">
      <c r="A14" s="185" t="s">
        <v>22</v>
      </c>
      <c r="B14" s="185" t="s">
        <v>320</v>
      </c>
      <c r="C14" s="190" t="s">
        <v>328</v>
      </c>
      <c r="D14" s="185" t="s">
        <v>47</v>
      </c>
      <c r="E14" s="191">
        <v>339.99</v>
      </c>
      <c r="F14" s="192">
        <f>MEMÓRIA!F24</f>
        <v>40.57</v>
      </c>
      <c r="G14" s="188">
        <f t="shared" si="0"/>
        <v>13793.39</v>
      </c>
      <c r="H14" s="189">
        <f t="shared" si="1"/>
        <v>51.08</v>
      </c>
    </row>
    <row r="15" spans="1:8" ht="45">
      <c r="A15" s="185" t="s">
        <v>23</v>
      </c>
      <c r="B15" s="185" t="s">
        <v>92</v>
      </c>
      <c r="C15" s="190" t="s">
        <v>329</v>
      </c>
      <c r="D15" s="185" t="s">
        <v>47</v>
      </c>
      <c r="E15" s="191">
        <v>10</v>
      </c>
      <c r="F15" s="192">
        <f>MEMÓRIA!F32</f>
        <v>321.85</v>
      </c>
      <c r="G15" s="188">
        <f t="shared" si="0"/>
        <v>3218.5</v>
      </c>
      <c r="H15" s="189">
        <f t="shared" si="1"/>
        <v>405.27</v>
      </c>
    </row>
    <row r="16" spans="1:8" ht="45">
      <c r="A16" s="185" t="s">
        <v>24</v>
      </c>
      <c r="B16" s="185" t="s">
        <v>106</v>
      </c>
      <c r="C16" s="190" t="s">
        <v>330</v>
      </c>
      <c r="D16" s="185" t="s">
        <v>107</v>
      </c>
      <c r="E16" s="191">
        <v>4</v>
      </c>
      <c r="F16" s="192">
        <f>MEMÓRIA!F52</f>
        <v>867.22</v>
      </c>
      <c r="G16" s="188">
        <f t="shared" si="0"/>
        <v>3468.88</v>
      </c>
      <c r="H16" s="189">
        <f t="shared" si="1"/>
        <v>1092</v>
      </c>
    </row>
    <row r="17" spans="1:8" ht="30">
      <c r="A17" s="185" t="s">
        <v>25</v>
      </c>
      <c r="B17" s="185" t="s">
        <v>110</v>
      </c>
      <c r="C17" s="190" t="s">
        <v>331</v>
      </c>
      <c r="D17" s="185" t="s">
        <v>0</v>
      </c>
      <c r="E17" s="191">
        <v>1</v>
      </c>
      <c r="F17" s="192">
        <f>MEMÓRIA!F56</f>
        <v>2815.02</v>
      </c>
      <c r="G17" s="188">
        <f t="shared" si="0"/>
        <v>2815.02</v>
      </c>
      <c r="H17" s="189">
        <f t="shared" si="1"/>
        <v>3544.67</v>
      </c>
    </row>
    <row r="18" spans="1:8" ht="30">
      <c r="A18" s="185" t="s">
        <v>26</v>
      </c>
      <c r="B18" s="185" t="s">
        <v>121</v>
      </c>
      <c r="C18" s="190" t="s">
        <v>332</v>
      </c>
      <c r="D18" s="185" t="s">
        <v>0</v>
      </c>
      <c r="E18" s="191">
        <v>1</v>
      </c>
      <c r="F18" s="192">
        <f>MEMÓRIA!F75</f>
        <v>1366.17</v>
      </c>
      <c r="G18" s="188">
        <f t="shared" si="0"/>
        <v>1366.17</v>
      </c>
      <c r="H18" s="189">
        <f t="shared" si="1"/>
        <v>1720.28</v>
      </c>
    </row>
    <row r="19" spans="1:8" ht="30">
      <c r="A19" s="185" t="s">
        <v>31</v>
      </c>
      <c r="B19" s="185" t="s">
        <v>314</v>
      </c>
      <c r="C19" s="190" t="s">
        <v>375</v>
      </c>
      <c r="D19" s="185" t="s">
        <v>203</v>
      </c>
      <c r="E19" s="191">
        <v>487.42</v>
      </c>
      <c r="F19" s="192">
        <f>MEMÓRIA!F91</f>
        <v>12.91</v>
      </c>
      <c r="G19" s="188">
        <f t="shared" si="0"/>
        <v>6292.59</v>
      </c>
      <c r="H19" s="189">
        <f t="shared" si="1"/>
        <v>16.25</v>
      </c>
    </row>
    <row r="20" spans="1:8" ht="18.75">
      <c r="A20" s="185" t="s">
        <v>32</v>
      </c>
      <c r="B20" s="185" t="s">
        <v>197</v>
      </c>
      <c r="C20" s="190" t="s">
        <v>623</v>
      </c>
      <c r="D20" s="185" t="s">
        <v>64</v>
      </c>
      <c r="E20" s="191">
        <v>302.63</v>
      </c>
      <c r="F20" s="192">
        <f>MEMÓRIA!F95</f>
        <v>9.15</v>
      </c>
      <c r="G20" s="188">
        <f t="shared" si="0"/>
        <v>2769.06</v>
      </c>
      <c r="H20" s="189">
        <f t="shared" si="1"/>
        <v>11.52</v>
      </c>
    </row>
    <row r="21" spans="1:8" ht="45">
      <c r="A21" s="185" t="s">
        <v>33</v>
      </c>
      <c r="B21" s="185" t="s">
        <v>202</v>
      </c>
      <c r="C21" s="190" t="s">
        <v>333</v>
      </c>
      <c r="D21" s="185" t="s">
        <v>0</v>
      </c>
      <c r="E21" s="191">
        <v>4</v>
      </c>
      <c r="F21" s="192">
        <f>MEMÓRIA!F100</f>
        <v>42.3</v>
      </c>
      <c r="G21" s="188">
        <f t="shared" si="0"/>
        <v>169.2</v>
      </c>
      <c r="H21" s="189">
        <f t="shared" si="1"/>
        <v>53.26</v>
      </c>
    </row>
    <row r="22" spans="1:8" ht="18.75">
      <c r="A22" s="185" t="s">
        <v>34</v>
      </c>
      <c r="B22" s="185" t="s">
        <v>275</v>
      </c>
      <c r="C22" s="190" t="s">
        <v>334</v>
      </c>
      <c r="D22" s="185" t="s">
        <v>0</v>
      </c>
      <c r="E22" s="191">
        <v>8</v>
      </c>
      <c r="F22" s="192">
        <f>MEMÓRIA!F106</f>
        <v>88.16</v>
      </c>
      <c r="G22" s="188">
        <f t="shared" si="0"/>
        <v>705.28</v>
      </c>
      <c r="H22" s="189">
        <f t="shared" si="1"/>
        <v>111.01</v>
      </c>
    </row>
    <row r="23" spans="1:8" ht="18.75">
      <c r="A23" s="185" t="s">
        <v>132</v>
      </c>
      <c r="B23" s="185" t="s">
        <v>276</v>
      </c>
      <c r="C23" s="190" t="s">
        <v>335</v>
      </c>
      <c r="D23" s="185" t="s">
        <v>0</v>
      </c>
      <c r="E23" s="191">
        <v>4</v>
      </c>
      <c r="F23" s="192">
        <f>MEMÓRIA!F110</f>
        <v>5.51</v>
      </c>
      <c r="G23" s="188">
        <f t="shared" si="0"/>
        <v>22.04</v>
      </c>
      <c r="H23" s="189">
        <f t="shared" si="1"/>
        <v>6.93</v>
      </c>
    </row>
    <row r="24" spans="1:8" ht="18.75">
      <c r="A24" s="185" t="s">
        <v>133</v>
      </c>
      <c r="B24" s="185" t="s">
        <v>315</v>
      </c>
      <c r="C24" s="190" t="s">
        <v>336</v>
      </c>
      <c r="D24" s="185" t="s">
        <v>42</v>
      </c>
      <c r="E24" s="191">
        <v>93.23</v>
      </c>
      <c r="F24" s="192">
        <f>MEMÓRIA!F114</f>
        <v>36.16</v>
      </c>
      <c r="G24" s="188">
        <f t="shared" si="0"/>
        <v>3371.19</v>
      </c>
      <c r="H24" s="189">
        <f t="shared" si="1"/>
        <v>45.53</v>
      </c>
    </row>
    <row r="25" spans="1:8" ht="30">
      <c r="A25" s="185" t="s">
        <v>134</v>
      </c>
      <c r="B25" s="185" t="s">
        <v>204</v>
      </c>
      <c r="C25" s="190" t="s">
        <v>337</v>
      </c>
      <c r="D25" s="185" t="s">
        <v>42</v>
      </c>
      <c r="E25" s="191">
        <v>102.55</v>
      </c>
      <c r="F25" s="192">
        <f>MEMÓRIA!F118</f>
        <v>23.02</v>
      </c>
      <c r="G25" s="188">
        <f t="shared" si="0"/>
        <v>2360.7</v>
      </c>
      <c r="H25" s="189">
        <f t="shared" si="1"/>
        <v>28.98</v>
      </c>
    </row>
    <row r="26" spans="1:8" ht="18.75">
      <c r="A26" s="185" t="s">
        <v>316</v>
      </c>
      <c r="B26" s="185" t="s">
        <v>396</v>
      </c>
      <c r="C26" s="190" t="s">
        <v>397</v>
      </c>
      <c r="D26" s="185" t="s">
        <v>47</v>
      </c>
      <c r="E26" s="202">
        <v>26.19</v>
      </c>
      <c r="F26" s="192">
        <f>MEMÓRIA!F126</f>
        <v>2.67</v>
      </c>
      <c r="G26" s="188">
        <f t="shared" si="0"/>
        <v>69.92</v>
      </c>
      <c r="H26" s="189">
        <f t="shared" si="1"/>
        <v>3.36</v>
      </c>
    </row>
    <row r="27" spans="1:8" ht="30">
      <c r="A27" s="221" t="s">
        <v>628</v>
      </c>
      <c r="B27" s="221" t="s">
        <v>629</v>
      </c>
      <c r="C27" s="222" t="s">
        <v>630</v>
      </c>
      <c r="D27" s="221" t="s">
        <v>47</v>
      </c>
      <c r="E27" s="191">
        <v>46.46</v>
      </c>
      <c r="F27" s="224">
        <f>MEMÓRIA!F130</f>
        <v>4.52</v>
      </c>
      <c r="G27" s="188">
        <f>TRUNC((E27*F27),2)</f>
        <v>209.99</v>
      </c>
      <c r="H27" s="189">
        <f>TRUNC((F27*1.2592),2)</f>
        <v>5.69</v>
      </c>
    </row>
    <row r="28" spans="1:8" ht="18.75">
      <c r="A28" s="198"/>
      <c r="B28" s="198"/>
      <c r="C28" s="199"/>
      <c r="D28" s="198"/>
      <c r="E28" s="197"/>
      <c r="F28" s="200" t="s">
        <v>37</v>
      </c>
      <c r="G28" s="201">
        <f>SUM(G13:G27)</f>
        <v>44313.76999999999</v>
      </c>
      <c r="H28" s="189"/>
    </row>
    <row r="29" spans="1:8" ht="18.75">
      <c r="A29" s="183" t="s">
        <v>27</v>
      </c>
      <c r="B29" s="183"/>
      <c r="C29" s="184" t="s">
        <v>490</v>
      </c>
      <c r="D29" s="183"/>
      <c r="E29" s="193"/>
      <c r="F29" s="194"/>
      <c r="G29" s="195"/>
      <c r="H29" s="189"/>
    </row>
    <row r="30" spans="1:8" ht="45">
      <c r="A30" s="185" t="s">
        <v>28</v>
      </c>
      <c r="B30" s="185" t="s">
        <v>401</v>
      </c>
      <c r="C30" s="190" t="s">
        <v>634</v>
      </c>
      <c r="D30" s="185" t="s">
        <v>64</v>
      </c>
      <c r="E30" s="191">
        <v>123.5</v>
      </c>
      <c r="F30" s="192">
        <f>MEMÓRIA!F136</f>
        <v>36.47</v>
      </c>
      <c r="G30" s="188">
        <f aca="true" t="shared" si="2" ref="G30:G35">TRUNC((E30*F30),2)</f>
        <v>4504.04</v>
      </c>
      <c r="H30" s="189">
        <f>TRUNC((F30*1.2882),2)</f>
        <v>46.98</v>
      </c>
    </row>
    <row r="31" spans="1:8" ht="18.75">
      <c r="A31" s="185" t="s">
        <v>317</v>
      </c>
      <c r="B31" s="185" t="s">
        <v>136</v>
      </c>
      <c r="C31" s="190" t="s">
        <v>339</v>
      </c>
      <c r="D31" s="185" t="s">
        <v>64</v>
      </c>
      <c r="E31" s="191">
        <v>144.6</v>
      </c>
      <c r="F31" s="192">
        <f>MEMÓRIA!F144</f>
        <v>33.44</v>
      </c>
      <c r="G31" s="188">
        <f t="shared" si="2"/>
        <v>4835.42</v>
      </c>
      <c r="H31" s="189">
        <f aca="true" t="shared" si="3" ref="H31:H94">TRUNC((F31*1.2882),2)</f>
        <v>43.07</v>
      </c>
    </row>
    <row r="32" spans="1:8" ht="30">
      <c r="A32" s="185" t="s">
        <v>318</v>
      </c>
      <c r="B32" s="185" t="s">
        <v>206</v>
      </c>
      <c r="C32" s="190" t="s">
        <v>340</v>
      </c>
      <c r="D32" s="185" t="s">
        <v>47</v>
      </c>
      <c r="E32" s="191">
        <v>415.62</v>
      </c>
      <c r="F32" s="192">
        <f>MEMÓRIA!F153</f>
        <v>56.82</v>
      </c>
      <c r="G32" s="188">
        <f t="shared" si="2"/>
        <v>23615.52</v>
      </c>
      <c r="H32" s="189">
        <f t="shared" si="3"/>
        <v>73.19</v>
      </c>
    </row>
    <row r="33" spans="1:8" ht="30">
      <c r="A33" s="185" t="s">
        <v>29</v>
      </c>
      <c r="B33" s="185" t="s">
        <v>379</v>
      </c>
      <c r="C33" s="190" t="s">
        <v>393</v>
      </c>
      <c r="D33" s="185" t="s">
        <v>47</v>
      </c>
      <c r="E33" s="191">
        <v>3.45</v>
      </c>
      <c r="F33" s="192">
        <f>MEMÓRIA!F165</f>
        <v>110.17</v>
      </c>
      <c r="G33" s="188">
        <f t="shared" si="2"/>
        <v>380.08</v>
      </c>
      <c r="H33" s="189">
        <f t="shared" si="3"/>
        <v>141.92</v>
      </c>
    </row>
    <row r="34" spans="1:8" ht="30">
      <c r="A34" s="185" t="s">
        <v>194</v>
      </c>
      <c r="B34" s="185" t="s">
        <v>380</v>
      </c>
      <c r="C34" s="190" t="s">
        <v>394</v>
      </c>
      <c r="D34" s="185" t="s">
        <v>47</v>
      </c>
      <c r="E34" s="191">
        <v>14.96</v>
      </c>
      <c r="F34" s="192">
        <f>MEMÓRIA!F175</f>
        <v>110.17</v>
      </c>
      <c r="G34" s="188">
        <f t="shared" si="2"/>
        <v>1648.14</v>
      </c>
      <c r="H34" s="189">
        <f t="shared" si="3"/>
        <v>141.92</v>
      </c>
    </row>
    <row r="35" spans="1:8" ht="18.75">
      <c r="A35" s="185" t="s">
        <v>30</v>
      </c>
      <c r="B35" s="185" t="s">
        <v>207</v>
      </c>
      <c r="C35" s="190" t="s">
        <v>395</v>
      </c>
      <c r="D35" s="185" t="s">
        <v>47</v>
      </c>
      <c r="E35" s="191">
        <v>20.91</v>
      </c>
      <c r="F35" s="192">
        <f>MEMÓRIA!F185</f>
        <v>81.95</v>
      </c>
      <c r="G35" s="188">
        <f t="shared" si="2"/>
        <v>1713.57</v>
      </c>
      <c r="H35" s="189">
        <f t="shared" si="3"/>
        <v>105.56</v>
      </c>
    </row>
    <row r="36" spans="1:8" ht="30">
      <c r="A36" s="185" t="s">
        <v>65</v>
      </c>
      <c r="B36" s="185" t="s">
        <v>618</v>
      </c>
      <c r="C36" s="190" t="s">
        <v>660</v>
      </c>
      <c r="D36" s="185" t="s">
        <v>47</v>
      </c>
      <c r="E36" s="191">
        <v>16.07</v>
      </c>
      <c r="F36" s="192">
        <f>MEMÓRIA!F193</f>
        <v>21.83</v>
      </c>
      <c r="G36" s="188">
        <f>TRUNC((E36*F36),2)</f>
        <v>350.8</v>
      </c>
      <c r="H36" s="189">
        <f t="shared" si="3"/>
        <v>28.12</v>
      </c>
    </row>
    <row r="37" spans="1:8" ht="18.75">
      <c r="A37" s="183"/>
      <c r="B37" s="183"/>
      <c r="C37" s="184"/>
      <c r="D37" s="183"/>
      <c r="E37" s="197"/>
      <c r="F37" s="193" t="s">
        <v>36</v>
      </c>
      <c r="G37" s="195">
        <f>SUM(G30:G36)</f>
        <v>37047.57</v>
      </c>
      <c r="H37" s="189"/>
    </row>
    <row r="38" spans="1:8" ht="18.75">
      <c r="A38" s="183" t="s">
        <v>60</v>
      </c>
      <c r="B38" s="183"/>
      <c r="C38" s="184" t="s">
        <v>212</v>
      </c>
      <c r="D38" s="183"/>
      <c r="E38" s="193"/>
      <c r="F38" s="194"/>
      <c r="G38" s="195"/>
      <c r="H38" s="189">
        <f t="shared" si="3"/>
        <v>0</v>
      </c>
    </row>
    <row r="39" spans="1:8" ht="90">
      <c r="A39" s="185" t="s">
        <v>45</v>
      </c>
      <c r="B39" s="185" t="s">
        <v>831</v>
      </c>
      <c r="C39" s="190" t="s">
        <v>826</v>
      </c>
      <c r="D39" s="185" t="s">
        <v>64</v>
      </c>
      <c r="E39" s="191">
        <v>104</v>
      </c>
      <c r="F39" s="192">
        <f>MEMÓRIA!F201</f>
        <v>50.66</v>
      </c>
      <c r="G39" s="188">
        <f aca="true" t="shared" si="4" ref="G39:G53">TRUNC((E39*F39),2)</f>
        <v>5268.64</v>
      </c>
      <c r="H39" s="189">
        <f t="shared" si="3"/>
        <v>65.26</v>
      </c>
    </row>
    <row r="40" spans="1:8" ht="30">
      <c r="A40" s="185" t="s">
        <v>69</v>
      </c>
      <c r="B40" s="185" t="s">
        <v>49</v>
      </c>
      <c r="C40" s="190" t="s">
        <v>627</v>
      </c>
      <c r="D40" s="185" t="s">
        <v>310</v>
      </c>
      <c r="E40" s="191">
        <v>14.63</v>
      </c>
      <c r="F40" s="192">
        <f>MEMÓRIA!F233</f>
        <v>43.91</v>
      </c>
      <c r="G40" s="188">
        <f t="shared" si="4"/>
        <v>642.4</v>
      </c>
      <c r="H40" s="189">
        <f t="shared" si="3"/>
        <v>56.56</v>
      </c>
    </row>
    <row r="41" spans="1:8" ht="30">
      <c r="A41" s="185" t="s">
        <v>61</v>
      </c>
      <c r="B41" s="185" t="s">
        <v>53</v>
      </c>
      <c r="C41" s="190" t="s">
        <v>341</v>
      </c>
      <c r="D41" s="185" t="s">
        <v>310</v>
      </c>
      <c r="E41" s="191">
        <v>9.75</v>
      </c>
      <c r="F41" s="192">
        <f>MEMÓRIA!F237</f>
        <v>17.17</v>
      </c>
      <c r="G41" s="188">
        <f t="shared" si="4"/>
        <v>167.4</v>
      </c>
      <c r="H41" s="189">
        <f t="shared" si="3"/>
        <v>22.11</v>
      </c>
    </row>
    <row r="42" spans="1:8" ht="30">
      <c r="A42" s="185" t="s">
        <v>62</v>
      </c>
      <c r="B42" s="185" t="s">
        <v>618</v>
      </c>
      <c r="C42" s="190" t="s">
        <v>624</v>
      </c>
      <c r="D42" s="185" t="s">
        <v>47</v>
      </c>
      <c r="E42" s="191">
        <v>13.94</v>
      </c>
      <c r="F42" s="192">
        <f>MEMÓRIA!F244</f>
        <v>21.83</v>
      </c>
      <c r="G42" s="188">
        <f>TRUNC((E42*F42),2)</f>
        <v>304.31</v>
      </c>
      <c r="H42" s="189">
        <f t="shared" si="3"/>
        <v>28.12</v>
      </c>
    </row>
    <row r="43" spans="1:8" ht="60">
      <c r="A43" s="185" t="s">
        <v>166</v>
      </c>
      <c r="B43" s="185" t="s">
        <v>836</v>
      </c>
      <c r="C43" s="190" t="s">
        <v>841</v>
      </c>
      <c r="D43" s="185" t="s">
        <v>42</v>
      </c>
      <c r="E43" s="191">
        <v>4.18</v>
      </c>
      <c r="F43" s="192">
        <f>MEMÓRIA!F250</f>
        <v>1978.28</v>
      </c>
      <c r="G43" s="188">
        <f t="shared" si="4"/>
        <v>8269.21</v>
      </c>
      <c r="H43" s="189">
        <f t="shared" si="3"/>
        <v>2548.42</v>
      </c>
    </row>
    <row r="44" spans="1:8" ht="60">
      <c r="A44" s="185" t="s">
        <v>169</v>
      </c>
      <c r="B44" s="185" t="s">
        <v>1032</v>
      </c>
      <c r="C44" s="190" t="s">
        <v>840</v>
      </c>
      <c r="D44" s="185" t="s">
        <v>42</v>
      </c>
      <c r="E44" s="191">
        <v>3.37</v>
      </c>
      <c r="F44" s="192">
        <f>MEMÓRIA!F273</f>
        <v>2045.8</v>
      </c>
      <c r="G44" s="188">
        <f>TRUNC((E44*F44),2)</f>
        <v>6894.34</v>
      </c>
      <c r="H44" s="189">
        <f t="shared" si="3"/>
        <v>2635.39</v>
      </c>
    </row>
    <row r="45" spans="1:8" ht="60">
      <c r="A45" s="185" t="s">
        <v>170</v>
      </c>
      <c r="B45" s="185" t="s">
        <v>1033</v>
      </c>
      <c r="C45" s="190" t="s">
        <v>842</v>
      </c>
      <c r="D45" s="185" t="s">
        <v>42</v>
      </c>
      <c r="E45" s="191">
        <v>1.51</v>
      </c>
      <c r="F45" s="192">
        <f>MEMÓRIA!F296</f>
        <v>2544.39</v>
      </c>
      <c r="G45" s="188">
        <f>TRUNC((E45*F45),2)</f>
        <v>3842.02</v>
      </c>
      <c r="H45" s="189">
        <f t="shared" si="3"/>
        <v>3277.68</v>
      </c>
    </row>
    <row r="46" spans="1:8" ht="30">
      <c r="A46" s="185" t="s">
        <v>299</v>
      </c>
      <c r="B46" s="185" t="s">
        <v>219</v>
      </c>
      <c r="C46" s="190" t="s">
        <v>338</v>
      </c>
      <c r="D46" s="185" t="s">
        <v>203</v>
      </c>
      <c r="E46" s="191">
        <v>349.77</v>
      </c>
      <c r="F46" s="192">
        <f>MEMÓRIA!F319</f>
        <v>141.51</v>
      </c>
      <c r="G46" s="188">
        <f t="shared" si="4"/>
        <v>49495.95</v>
      </c>
      <c r="H46" s="189">
        <f t="shared" si="3"/>
        <v>182.29</v>
      </c>
    </row>
    <row r="47" spans="1:8" ht="75">
      <c r="A47" s="185" t="s">
        <v>311</v>
      </c>
      <c r="B47" s="185" t="s">
        <v>968</v>
      </c>
      <c r="C47" s="190" t="s">
        <v>969</v>
      </c>
      <c r="D47" s="185" t="s">
        <v>47</v>
      </c>
      <c r="E47" s="191">
        <v>7.2</v>
      </c>
      <c r="F47" s="192">
        <v>345.2</v>
      </c>
      <c r="G47" s="188">
        <f t="shared" si="4"/>
        <v>2485.44</v>
      </c>
      <c r="H47" s="189">
        <f t="shared" si="3"/>
        <v>444.68</v>
      </c>
    </row>
    <row r="48" spans="1:8" ht="45">
      <c r="A48" s="185" t="s">
        <v>312</v>
      </c>
      <c r="B48" s="185" t="s">
        <v>1007</v>
      </c>
      <c r="C48" s="190" t="s">
        <v>1012</v>
      </c>
      <c r="D48" s="185" t="s">
        <v>47</v>
      </c>
      <c r="E48" s="191">
        <v>501.89</v>
      </c>
      <c r="F48" s="192">
        <f>MEMÓRIA!F349</f>
        <v>78.3</v>
      </c>
      <c r="G48" s="188">
        <f t="shared" si="4"/>
        <v>39297.98</v>
      </c>
      <c r="H48" s="189">
        <f t="shared" si="3"/>
        <v>100.86</v>
      </c>
    </row>
    <row r="49" spans="1:8" ht="18.75">
      <c r="A49" s="185" t="s">
        <v>319</v>
      </c>
      <c r="B49" s="185" t="s">
        <v>405</v>
      </c>
      <c r="C49" s="190" t="s">
        <v>421</v>
      </c>
      <c r="D49" s="185" t="s">
        <v>420</v>
      </c>
      <c r="E49" s="191">
        <v>1</v>
      </c>
      <c r="F49" s="192">
        <f>MEMÓRIA!F364</f>
        <v>1187.54</v>
      </c>
      <c r="G49" s="188">
        <f t="shared" si="4"/>
        <v>1187.54</v>
      </c>
      <c r="H49" s="189">
        <f t="shared" si="3"/>
        <v>1529.78</v>
      </c>
    </row>
    <row r="50" spans="1:8" ht="30">
      <c r="A50" s="185" t="s">
        <v>621</v>
      </c>
      <c r="B50" s="185" t="s">
        <v>418</v>
      </c>
      <c r="C50" s="190" t="s">
        <v>419</v>
      </c>
      <c r="D50" s="185" t="s">
        <v>420</v>
      </c>
      <c r="E50" s="191">
        <v>1</v>
      </c>
      <c r="F50" s="192">
        <f>MEMÓRIA!F370</f>
        <v>1836.8</v>
      </c>
      <c r="G50" s="188">
        <f t="shared" si="4"/>
        <v>1836.8</v>
      </c>
      <c r="H50" s="189">
        <f t="shared" si="3"/>
        <v>2366.16</v>
      </c>
    </row>
    <row r="51" spans="1:8" ht="45">
      <c r="A51" s="185" t="s">
        <v>722</v>
      </c>
      <c r="B51" s="211" t="s">
        <v>710</v>
      </c>
      <c r="C51" s="212" t="s">
        <v>711</v>
      </c>
      <c r="D51" s="211" t="s">
        <v>64</v>
      </c>
      <c r="E51" s="213">
        <v>617.77</v>
      </c>
      <c r="F51" s="214">
        <f>MEMÓRIA!F377</f>
        <v>29.82</v>
      </c>
      <c r="G51" s="282">
        <f t="shared" si="4"/>
        <v>18421.9</v>
      </c>
      <c r="H51" s="189">
        <f t="shared" si="3"/>
        <v>38.41</v>
      </c>
    </row>
    <row r="52" spans="1:8" ht="18.75">
      <c r="A52" s="185" t="s">
        <v>725</v>
      </c>
      <c r="B52" s="185" t="s">
        <v>735</v>
      </c>
      <c r="C52" s="190" t="s">
        <v>736</v>
      </c>
      <c r="D52" s="185" t="s">
        <v>420</v>
      </c>
      <c r="E52" s="191">
        <v>1</v>
      </c>
      <c r="F52" s="192">
        <f>MEMÓRIA!F389</f>
        <v>720</v>
      </c>
      <c r="G52" s="282">
        <f t="shared" si="4"/>
        <v>720</v>
      </c>
      <c r="H52" s="189">
        <f t="shared" si="3"/>
        <v>927.5</v>
      </c>
    </row>
    <row r="53" spans="1:8" ht="18.75">
      <c r="A53" s="185" t="s">
        <v>734</v>
      </c>
      <c r="B53" s="185" t="s">
        <v>730</v>
      </c>
      <c r="C53" s="190" t="s">
        <v>737</v>
      </c>
      <c r="D53" s="185" t="s">
        <v>224</v>
      </c>
      <c r="E53" s="191">
        <v>1</v>
      </c>
      <c r="F53" s="192">
        <f>MEMÓRIA!F393</f>
        <v>129.95</v>
      </c>
      <c r="G53" s="188">
        <f t="shared" si="4"/>
        <v>129.95</v>
      </c>
      <c r="H53" s="189">
        <f t="shared" si="3"/>
        <v>167.4</v>
      </c>
    </row>
    <row r="54" spans="1:8" ht="30">
      <c r="A54" s="185" t="s">
        <v>843</v>
      </c>
      <c r="B54" s="221" t="s">
        <v>886</v>
      </c>
      <c r="C54" s="222" t="s">
        <v>893</v>
      </c>
      <c r="D54" s="221" t="s">
        <v>203</v>
      </c>
      <c r="E54" s="191">
        <v>66.14</v>
      </c>
      <c r="F54" s="192">
        <v>59.62</v>
      </c>
      <c r="G54" s="188">
        <f>TRUNC((E54*F54),2)</f>
        <v>3943.26</v>
      </c>
      <c r="H54" s="189">
        <f t="shared" si="3"/>
        <v>76.8</v>
      </c>
    </row>
    <row r="55" spans="1:8" ht="45">
      <c r="A55" s="185" t="s">
        <v>909</v>
      </c>
      <c r="B55" s="185" t="s">
        <v>912</v>
      </c>
      <c r="C55" s="190" t="s">
        <v>913</v>
      </c>
      <c r="D55" s="185" t="s">
        <v>47</v>
      </c>
      <c r="E55" s="202">
        <v>242.92</v>
      </c>
      <c r="F55" s="192">
        <v>23.74</v>
      </c>
      <c r="G55" s="188">
        <f>TRUNC((E55*F55),2)</f>
        <v>5766.92</v>
      </c>
      <c r="H55" s="189">
        <f t="shared" si="3"/>
        <v>30.58</v>
      </c>
    </row>
    <row r="56" spans="1:8" ht="30">
      <c r="A56" s="221" t="s">
        <v>1020</v>
      </c>
      <c r="B56" s="221" t="s">
        <v>1021</v>
      </c>
      <c r="C56" s="222" t="s">
        <v>1022</v>
      </c>
      <c r="D56" s="221" t="s">
        <v>47</v>
      </c>
      <c r="E56" s="191">
        <v>602.27</v>
      </c>
      <c r="F56" s="224">
        <v>9.79</v>
      </c>
      <c r="G56" s="188">
        <f>TRUNC((E56*F56),2)</f>
        <v>5896.22</v>
      </c>
      <c r="H56" s="189">
        <f t="shared" si="3"/>
        <v>12.61</v>
      </c>
    </row>
    <row r="57" spans="1:9" ht="18.75">
      <c r="A57" s="198"/>
      <c r="B57" s="198"/>
      <c r="C57" s="199"/>
      <c r="D57" s="198"/>
      <c r="F57" s="200" t="s">
        <v>63</v>
      </c>
      <c r="G57" s="201">
        <f>SUM(G39:G56)</f>
        <v>154570.28000000003</v>
      </c>
      <c r="H57" s="189"/>
      <c r="I57" s="83"/>
    </row>
    <row r="58" spans="1:8" ht="18.75">
      <c r="A58" s="183" t="s">
        <v>68</v>
      </c>
      <c r="B58" s="183"/>
      <c r="C58" s="184" t="s">
        <v>144</v>
      </c>
      <c r="D58" s="185"/>
      <c r="E58" s="186"/>
      <c r="F58" s="192"/>
      <c r="G58" s="188"/>
      <c r="H58" s="189">
        <f t="shared" si="3"/>
        <v>0</v>
      </c>
    </row>
    <row r="59" spans="1:8" ht="60">
      <c r="A59" s="185" t="s">
        <v>70</v>
      </c>
      <c r="B59" s="185" t="s">
        <v>145</v>
      </c>
      <c r="C59" s="190" t="s">
        <v>362</v>
      </c>
      <c r="D59" s="185" t="s">
        <v>0</v>
      </c>
      <c r="E59" s="191">
        <v>1</v>
      </c>
      <c r="F59" s="192">
        <f>MEMÓRIA!F418</f>
        <v>2210.67</v>
      </c>
      <c r="G59" s="188">
        <f aca="true" t="shared" si="5" ref="G59:G81">TRUNC((E59*F59),2)</f>
        <v>2210.67</v>
      </c>
      <c r="H59" s="189">
        <f t="shared" si="3"/>
        <v>2847.78</v>
      </c>
    </row>
    <row r="60" spans="1:8" ht="18.75">
      <c r="A60" s="185" t="s">
        <v>71</v>
      </c>
      <c r="B60" s="185" t="s">
        <v>171</v>
      </c>
      <c r="C60" s="190" t="s">
        <v>363</v>
      </c>
      <c r="D60" s="185" t="s">
        <v>0</v>
      </c>
      <c r="E60" s="191">
        <v>1</v>
      </c>
      <c r="F60" s="192">
        <f>MEMÓRIA!F445</f>
        <v>85.11</v>
      </c>
      <c r="G60" s="188">
        <f t="shared" si="5"/>
        <v>85.11</v>
      </c>
      <c r="H60" s="189">
        <f t="shared" si="3"/>
        <v>109.63</v>
      </c>
    </row>
    <row r="61" spans="1:8" ht="18.75">
      <c r="A61" s="185" t="s">
        <v>72</v>
      </c>
      <c r="B61" s="185" t="s">
        <v>173</v>
      </c>
      <c r="C61" s="190" t="s">
        <v>364</v>
      </c>
      <c r="D61" s="185" t="s">
        <v>0</v>
      </c>
      <c r="E61" s="191">
        <v>1</v>
      </c>
      <c r="F61" s="192">
        <f>MEMÓRIA!F451</f>
        <v>133.24</v>
      </c>
      <c r="G61" s="188">
        <f t="shared" si="5"/>
        <v>133.24</v>
      </c>
      <c r="H61" s="189">
        <f t="shared" si="3"/>
        <v>171.63</v>
      </c>
    </row>
    <row r="62" spans="1:8" ht="30">
      <c r="A62" s="185" t="s">
        <v>227</v>
      </c>
      <c r="B62" s="185" t="s">
        <v>237</v>
      </c>
      <c r="C62" s="190" t="s">
        <v>343</v>
      </c>
      <c r="D62" s="185" t="s">
        <v>64</v>
      </c>
      <c r="E62" s="191">
        <v>120</v>
      </c>
      <c r="F62" s="192">
        <f>MEMÓRIA!F458</f>
        <v>5.26</v>
      </c>
      <c r="G62" s="188">
        <f t="shared" si="5"/>
        <v>631.2</v>
      </c>
      <c r="H62" s="189">
        <f t="shared" si="3"/>
        <v>6.77</v>
      </c>
    </row>
    <row r="63" spans="1:8" ht="30">
      <c r="A63" s="185" t="s">
        <v>228</v>
      </c>
      <c r="B63" s="185" t="s">
        <v>239</v>
      </c>
      <c r="C63" s="190" t="s">
        <v>344</v>
      </c>
      <c r="D63" s="185" t="s">
        <v>64</v>
      </c>
      <c r="E63" s="191">
        <v>110</v>
      </c>
      <c r="F63" s="192">
        <f>MEMÓRIA!F464</f>
        <v>2.4</v>
      </c>
      <c r="G63" s="188">
        <f t="shared" si="5"/>
        <v>264</v>
      </c>
      <c r="H63" s="189">
        <f t="shared" si="3"/>
        <v>3.09</v>
      </c>
    </row>
    <row r="64" spans="1:8" ht="30">
      <c r="A64" s="185" t="s">
        <v>229</v>
      </c>
      <c r="B64" s="185" t="s">
        <v>241</v>
      </c>
      <c r="C64" s="190" t="s">
        <v>345</v>
      </c>
      <c r="D64" s="185" t="s">
        <v>64</v>
      </c>
      <c r="E64" s="191">
        <v>720</v>
      </c>
      <c r="F64" s="192">
        <f>MEMÓRIA!F471</f>
        <v>3.29</v>
      </c>
      <c r="G64" s="188">
        <f t="shared" si="5"/>
        <v>2368.8</v>
      </c>
      <c r="H64" s="189">
        <f t="shared" si="3"/>
        <v>4.23</v>
      </c>
    </row>
    <row r="65" spans="1:8" ht="30">
      <c r="A65" s="185" t="s">
        <v>230</v>
      </c>
      <c r="B65" s="185" t="s">
        <v>243</v>
      </c>
      <c r="C65" s="190" t="s">
        <v>346</v>
      </c>
      <c r="D65" s="185" t="s">
        <v>64</v>
      </c>
      <c r="E65" s="191">
        <v>30</v>
      </c>
      <c r="F65" s="192">
        <f>MEMÓRIA!F478</f>
        <v>6</v>
      </c>
      <c r="G65" s="188">
        <f t="shared" si="5"/>
        <v>180</v>
      </c>
      <c r="H65" s="189">
        <f t="shared" si="3"/>
        <v>7.72</v>
      </c>
    </row>
    <row r="66" spans="1:8" ht="45" customHeight="1">
      <c r="A66" s="185" t="s">
        <v>231</v>
      </c>
      <c r="B66" s="185" t="s">
        <v>251</v>
      </c>
      <c r="C66" s="190" t="s">
        <v>347</v>
      </c>
      <c r="D66" s="185" t="s">
        <v>0</v>
      </c>
      <c r="E66" s="191">
        <v>1</v>
      </c>
      <c r="F66" s="192">
        <f>MEMÓRIA!F485</f>
        <v>277.25</v>
      </c>
      <c r="G66" s="188">
        <f t="shared" si="5"/>
        <v>277.25</v>
      </c>
      <c r="H66" s="189">
        <f t="shared" si="3"/>
        <v>357.15</v>
      </c>
    </row>
    <row r="67" spans="1:8" ht="18.75">
      <c r="A67" s="185" t="s">
        <v>232</v>
      </c>
      <c r="B67" s="185" t="s">
        <v>245</v>
      </c>
      <c r="C67" s="190" t="s">
        <v>348</v>
      </c>
      <c r="D67" s="185" t="s">
        <v>0</v>
      </c>
      <c r="E67" s="191">
        <v>1</v>
      </c>
      <c r="F67" s="192">
        <f>MEMÓRIA!F491</f>
        <v>9.15</v>
      </c>
      <c r="G67" s="188">
        <f t="shared" si="5"/>
        <v>9.15</v>
      </c>
      <c r="H67" s="189">
        <f t="shared" si="3"/>
        <v>11.78</v>
      </c>
    </row>
    <row r="68" spans="1:8" ht="18.75">
      <c r="A68" s="185" t="s">
        <v>250</v>
      </c>
      <c r="B68" s="185" t="s">
        <v>246</v>
      </c>
      <c r="C68" s="190" t="s">
        <v>349</v>
      </c>
      <c r="D68" s="185" t="s">
        <v>0</v>
      </c>
      <c r="E68" s="191">
        <v>7</v>
      </c>
      <c r="F68" s="192">
        <f>MEMÓRIA!F496</f>
        <v>30.69</v>
      </c>
      <c r="G68" s="188">
        <f t="shared" si="5"/>
        <v>214.83</v>
      </c>
      <c r="H68" s="189">
        <f t="shared" si="3"/>
        <v>39.53</v>
      </c>
    </row>
    <row r="69" spans="1:8" ht="18.75">
      <c r="A69" s="185" t="s">
        <v>253</v>
      </c>
      <c r="B69" s="185" t="s">
        <v>248</v>
      </c>
      <c r="C69" s="190" t="s">
        <v>350</v>
      </c>
      <c r="D69" s="185" t="s">
        <v>0</v>
      </c>
      <c r="E69" s="191">
        <v>1</v>
      </c>
      <c r="F69" s="192">
        <f>MEMÓRIA!F501</f>
        <v>47.47</v>
      </c>
      <c r="G69" s="188">
        <f t="shared" si="5"/>
        <v>47.47</v>
      </c>
      <c r="H69" s="189">
        <f t="shared" si="3"/>
        <v>61.15</v>
      </c>
    </row>
    <row r="70" spans="1:8" ht="30">
      <c r="A70" s="185" t="s">
        <v>260</v>
      </c>
      <c r="B70" s="185" t="s">
        <v>167</v>
      </c>
      <c r="C70" s="190" t="s">
        <v>351</v>
      </c>
      <c r="D70" s="185" t="s">
        <v>0</v>
      </c>
      <c r="E70" s="191">
        <v>2</v>
      </c>
      <c r="F70" s="192">
        <f>MEMÓRIA!F507</f>
        <v>38.19</v>
      </c>
      <c r="G70" s="188">
        <f t="shared" si="5"/>
        <v>76.38</v>
      </c>
      <c r="H70" s="189">
        <f t="shared" si="3"/>
        <v>49.19</v>
      </c>
    </row>
    <row r="71" spans="1:8" ht="90">
      <c r="A71" s="185" t="s">
        <v>261</v>
      </c>
      <c r="B71" s="185" t="s">
        <v>1000</v>
      </c>
      <c r="C71" s="190" t="s">
        <v>1003</v>
      </c>
      <c r="D71" s="185" t="s">
        <v>0</v>
      </c>
      <c r="E71" s="191">
        <v>2</v>
      </c>
      <c r="F71" s="192">
        <v>2940.95</v>
      </c>
      <c r="G71" s="188">
        <f>TRUNC((E71*F71),2)</f>
        <v>5881.9</v>
      </c>
      <c r="H71" s="189">
        <f t="shared" si="3"/>
        <v>3788.53</v>
      </c>
    </row>
    <row r="72" spans="1:8" ht="90">
      <c r="A72" s="185" t="s">
        <v>262</v>
      </c>
      <c r="B72" s="185" t="s">
        <v>1002</v>
      </c>
      <c r="C72" s="190" t="s">
        <v>1004</v>
      </c>
      <c r="D72" s="185" t="s">
        <v>0</v>
      </c>
      <c r="E72" s="191">
        <v>4</v>
      </c>
      <c r="F72" s="192">
        <v>3341.74</v>
      </c>
      <c r="G72" s="188">
        <f t="shared" si="5"/>
        <v>13366.96</v>
      </c>
      <c r="H72" s="189">
        <f t="shared" si="3"/>
        <v>4304.82</v>
      </c>
    </row>
    <row r="73" spans="1:8" ht="60">
      <c r="A73" s="185" t="s">
        <v>265</v>
      </c>
      <c r="B73" s="185" t="s">
        <v>255</v>
      </c>
      <c r="C73" s="190" t="s">
        <v>352</v>
      </c>
      <c r="D73" s="185" t="s">
        <v>0</v>
      </c>
      <c r="E73" s="191">
        <v>7</v>
      </c>
      <c r="F73" s="192">
        <f>MEMÓRIA!F543</f>
        <v>202.27</v>
      </c>
      <c r="G73" s="188">
        <f t="shared" si="5"/>
        <v>1415.89</v>
      </c>
      <c r="H73" s="189">
        <f t="shared" si="3"/>
        <v>260.56</v>
      </c>
    </row>
    <row r="74" spans="1:8" ht="30">
      <c r="A74" s="185" t="s">
        <v>266</v>
      </c>
      <c r="B74" s="185" t="s">
        <v>256</v>
      </c>
      <c r="C74" s="190" t="s">
        <v>353</v>
      </c>
      <c r="D74" s="185" t="s">
        <v>0</v>
      </c>
      <c r="E74" s="191">
        <v>1</v>
      </c>
      <c r="F74" s="192">
        <f>MEMÓRIA!F563</f>
        <v>39.05</v>
      </c>
      <c r="G74" s="188">
        <f t="shared" si="5"/>
        <v>39.05</v>
      </c>
      <c r="H74" s="189">
        <f t="shared" si="3"/>
        <v>50.3</v>
      </c>
    </row>
    <row r="75" spans="1:8" ht="30">
      <c r="A75" s="185" t="s">
        <v>267</v>
      </c>
      <c r="B75" s="185" t="s">
        <v>258</v>
      </c>
      <c r="C75" s="190" t="s">
        <v>354</v>
      </c>
      <c r="D75" s="185" t="s">
        <v>0</v>
      </c>
      <c r="E75" s="191">
        <v>1</v>
      </c>
      <c r="F75" s="192">
        <f>MEMÓRIA!F568</f>
        <v>99.05</v>
      </c>
      <c r="G75" s="188">
        <f t="shared" si="5"/>
        <v>99.05</v>
      </c>
      <c r="H75" s="189">
        <f t="shared" si="3"/>
        <v>127.59</v>
      </c>
    </row>
    <row r="76" spans="1:8" ht="18.75">
      <c r="A76" s="185" t="s">
        <v>268</v>
      </c>
      <c r="B76" s="185" t="s">
        <v>306</v>
      </c>
      <c r="C76" s="190" t="s">
        <v>355</v>
      </c>
      <c r="D76" s="185" t="s">
        <v>0</v>
      </c>
      <c r="E76" s="191">
        <v>4</v>
      </c>
      <c r="F76" s="192">
        <f>MEMÓRIA!F573</f>
        <v>8.44</v>
      </c>
      <c r="G76" s="188">
        <f t="shared" si="5"/>
        <v>33.76</v>
      </c>
      <c r="H76" s="189">
        <f t="shared" si="3"/>
        <v>10.87</v>
      </c>
    </row>
    <row r="77" spans="1:8" ht="18.75">
      <c r="A77" s="185" t="s">
        <v>269</v>
      </c>
      <c r="B77" s="185" t="s">
        <v>308</v>
      </c>
      <c r="C77" s="190" t="s">
        <v>365</v>
      </c>
      <c r="D77" s="185" t="s">
        <v>0</v>
      </c>
      <c r="E77" s="191">
        <v>4</v>
      </c>
      <c r="F77" s="192">
        <f>MEMÓRIA!F578</f>
        <v>10.64</v>
      </c>
      <c r="G77" s="188">
        <f t="shared" si="5"/>
        <v>42.56</v>
      </c>
      <c r="H77" s="189">
        <f t="shared" si="3"/>
        <v>13.7</v>
      </c>
    </row>
    <row r="78" spans="1:8" ht="18.75">
      <c r="A78" s="183"/>
      <c r="B78" s="183"/>
      <c r="C78" s="184"/>
      <c r="D78" s="183"/>
      <c r="F78" s="193" t="s">
        <v>73</v>
      </c>
      <c r="G78" s="195">
        <f>SUM(G59:G77)</f>
        <v>27377.269999999997</v>
      </c>
      <c r="H78" s="189"/>
    </row>
    <row r="79" spans="1:8" ht="18.75">
      <c r="A79" s="183" t="s">
        <v>178</v>
      </c>
      <c r="B79" s="183"/>
      <c r="C79" s="184" t="s">
        <v>177</v>
      </c>
      <c r="D79" s="185"/>
      <c r="E79" s="186"/>
      <c r="F79" s="192"/>
      <c r="G79" s="188"/>
      <c r="H79" s="189">
        <f t="shared" si="3"/>
        <v>0</v>
      </c>
    </row>
    <row r="80" spans="1:8" ht="18.75">
      <c r="A80" s="185" t="s">
        <v>179</v>
      </c>
      <c r="B80" s="185" t="s">
        <v>225</v>
      </c>
      <c r="C80" s="190" t="s">
        <v>358</v>
      </c>
      <c r="D80" s="185" t="s">
        <v>64</v>
      </c>
      <c r="E80" s="191">
        <v>329.28</v>
      </c>
      <c r="F80" s="192">
        <f>MEMÓRIA!F585</f>
        <v>12.51</v>
      </c>
      <c r="G80" s="188">
        <f t="shared" si="5"/>
        <v>4119.29</v>
      </c>
      <c r="H80" s="189">
        <f t="shared" si="3"/>
        <v>16.11</v>
      </c>
    </row>
    <row r="81" spans="1:8" ht="18.75">
      <c r="A81" s="185" t="s">
        <v>180</v>
      </c>
      <c r="B81" s="185" t="s">
        <v>226</v>
      </c>
      <c r="C81" s="190" t="s">
        <v>449</v>
      </c>
      <c r="D81" s="185" t="s">
        <v>47</v>
      </c>
      <c r="E81" s="191">
        <v>760.47</v>
      </c>
      <c r="F81" s="192">
        <f>MEMÓRIA!F587</f>
        <v>15.18</v>
      </c>
      <c r="G81" s="188">
        <f t="shared" si="5"/>
        <v>11543.93</v>
      </c>
      <c r="H81" s="189">
        <f t="shared" si="3"/>
        <v>19.55</v>
      </c>
    </row>
    <row r="82" spans="1:8" ht="45">
      <c r="A82" s="185" t="s">
        <v>439</v>
      </c>
      <c r="B82" s="185" t="s">
        <v>440</v>
      </c>
      <c r="C82" s="190" t="s">
        <v>448</v>
      </c>
      <c r="D82" s="185" t="s">
        <v>47</v>
      </c>
      <c r="E82" s="191">
        <v>194.7</v>
      </c>
      <c r="F82" s="192">
        <f>MEMÓRIA!F593</f>
        <v>15.48</v>
      </c>
      <c r="G82" s="188">
        <f>TRUNC((E82*F82),2)</f>
        <v>3013.95</v>
      </c>
      <c r="H82" s="189">
        <f t="shared" si="3"/>
        <v>19.94</v>
      </c>
    </row>
    <row r="83" spans="1:8" ht="18.75">
      <c r="A83" s="183"/>
      <c r="B83" s="183"/>
      <c r="C83" s="184"/>
      <c r="D83" s="183"/>
      <c r="E83" s="193"/>
      <c r="F83" s="193" t="s">
        <v>181</v>
      </c>
      <c r="G83" s="195">
        <f>SUM(G80:G82)</f>
        <v>18677.170000000002</v>
      </c>
      <c r="H83" s="189"/>
    </row>
    <row r="84" spans="1:8" ht="18.75">
      <c r="A84" s="183" t="s">
        <v>233</v>
      </c>
      <c r="B84" s="183"/>
      <c r="C84" s="184" t="s">
        <v>277</v>
      </c>
      <c r="D84" s="185"/>
      <c r="E84" s="186"/>
      <c r="F84" s="192"/>
      <c r="G84" s="188"/>
      <c r="H84" s="189">
        <f t="shared" si="3"/>
        <v>0</v>
      </c>
    </row>
    <row r="85" spans="1:8" ht="18.75">
      <c r="A85" s="185" t="s">
        <v>234</v>
      </c>
      <c r="B85" s="185" t="s">
        <v>205</v>
      </c>
      <c r="C85" s="190" t="s">
        <v>359</v>
      </c>
      <c r="D85" s="185" t="s">
        <v>47</v>
      </c>
      <c r="E85" s="191">
        <v>134.14</v>
      </c>
      <c r="F85" s="192">
        <f>MEMÓRIA!F603</f>
        <v>14.65</v>
      </c>
      <c r="G85" s="188">
        <f>TRUNC((E85*F85),2)</f>
        <v>1965.15</v>
      </c>
      <c r="H85" s="189">
        <f t="shared" si="3"/>
        <v>18.87</v>
      </c>
    </row>
    <row r="86" spans="1:8" ht="45">
      <c r="A86" s="185" t="s">
        <v>235</v>
      </c>
      <c r="B86" s="185" t="s">
        <v>287</v>
      </c>
      <c r="C86" s="190" t="s">
        <v>1018</v>
      </c>
      <c r="D86" s="185" t="s">
        <v>0</v>
      </c>
      <c r="E86" s="191">
        <v>3</v>
      </c>
      <c r="F86" s="192">
        <f>MEMÓRIA!F605</f>
        <v>437.27</v>
      </c>
      <c r="G86" s="188">
        <f>TRUNC((E86*F86),2)</f>
        <v>1311.81</v>
      </c>
      <c r="H86" s="189">
        <f t="shared" si="3"/>
        <v>563.29</v>
      </c>
    </row>
    <row r="87" spans="1:8" ht="60.75">
      <c r="A87" s="185" t="s">
        <v>460</v>
      </c>
      <c r="B87" s="185" t="s">
        <v>450</v>
      </c>
      <c r="C87" s="190" t="s">
        <v>489</v>
      </c>
      <c r="D87" s="185" t="s">
        <v>42</v>
      </c>
      <c r="E87" s="191">
        <v>0.4</v>
      </c>
      <c r="F87" s="192">
        <f>MEMÓRIA!F624</f>
        <v>1446.62</v>
      </c>
      <c r="G87" s="188">
        <f>TRUNC((E87*F87),2)</f>
        <v>578.64</v>
      </c>
      <c r="H87" s="189">
        <f t="shared" si="3"/>
        <v>1863.53</v>
      </c>
    </row>
    <row r="88" spans="1:8" ht="18.75">
      <c r="A88" s="183"/>
      <c r="B88" s="183"/>
      <c r="C88" s="184"/>
      <c r="D88" s="183"/>
      <c r="F88" s="193" t="s">
        <v>236</v>
      </c>
      <c r="G88" s="195">
        <f>SUM(G85:G87)</f>
        <v>3855.6</v>
      </c>
      <c r="H88" s="189"/>
    </row>
    <row r="89" spans="1:8" ht="18.75">
      <c r="A89" s="183" t="s">
        <v>278</v>
      </c>
      <c r="B89" s="183"/>
      <c r="C89" s="184" t="s">
        <v>81</v>
      </c>
      <c r="D89" s="183"/>
      <c r="E89" s="193"/>
      <c r="F89" s="194"/>
      <c r="G89" s="195"/>
      <c r="H89" s="189">
        <f t="shared" si="3"/>
        <v>0</v>
      </c>
    </row>
    <row r="90" spans="1:8" ht="45">
      <c r="A90" s="185" t="s">
        <v>279</v>
      </c>
      <c r="B90" s="185" t="s">
        <v>76</v>
      </c>
      <c r="C90" s="190" t="s">
        <v>83</v>
      </c>
      <c r="D90" s="185" t="s">
        <v>50</v>
      </c>
      <c r="E90" s="191">
        <v>154.82</v>
      </c>
      <c r="F90" s="192">
        <f>MEMÓRIA!F635</f>
        <v>0.97</v>
      </c>
      <c r="G90" s="188">
        <f>TRUNC((E90*F90),2)</f>
        <v>150.17</v>
      </c>
      <c r="H90" s="189">
        <f t="shared" si="3"/>
        <v>1.24</v>
      </c>
    </row>
    <row r="91" spans="1:8" ht="45.75">
      <c r="A91" s="185" t="s">
        <v>280</v>
      </c>
      <c r="B91" s="185" t="s">
        <v>74</v>
      </c>
      <c r="C91" s="190" t="s">
        <v>378</v>
      </c>
      <c r="D91" s="185" t="s">
        <v>58</v>
      </c>
      <c r="E91" s="191">
        <v>4334.96</v>
      </c>
      <c r="F91" s="192">
        <f>MEMÓRIA!F640</f>
        <v>1.04</v>
      </c>
      <c r="G91" s="188">
        <f>TRUNC((E91*F91),2)</f>
        <v>4508.35</v>
      </c>
      <c r="H91" s="189">
        <f t="shared" si="3"/>
        <v>1.33</v>
      </c>
    </row>
    <row r="92" spans="1:8" ht="30">
      <c r="A92" s="185" t="s">
        <v>281</v>
      </c>
      <c r="B92" s="185" t="s">
        <v>75</v>
      </c>
      <c r="C92" s="190" t="s">
        <v>84</v>
      </c>
      <c r="D92" s="185" t="s">
        <v>42</v>
      </c>
      <c r="E92" s="191">
        <v>83.83</v>
      </c>
      <c r="F92" s="192">
        <f>MEMÓRIA!F644</f>
        <v>54</v>
      </c>
      <c r="G92" s="188">
        <f>TRUNC((E92*F92),2)</f>
        <v>4526.82</v>
      </c>
      <c r="H92" s="189">
        <f>TRUNC((F92*1.12),2)</f>
        <v>60.48</v>
      </c>
    </row>
    <row r="93" spans="1:8" ht="45">
      <c r="A93" s="185" t="s">
        <v>295</v>
      </c>
      <c r="B93" s="185" t="s">
        <v>297</v>
      </c>
      <c r="C93" s="190" t="s">
        <v>361</v>
      </c>
      <c r="D93" s="185" t="s">
        <v>50</v>
      </c>
      <c r="E93" s="191">
        <v>45</v>
      </c>
      <c r="F93" s="192">
        <f>MEMÓRIA!F648</f>
        <v>67.81</v>
      </c>
      <c r="G93" s="188">
        <f>TRUNC((E93*F93),2)</f>
        <v>3051.45</v>
      </c>
      <c r="H93" s="189">
        <f t="shared" si="3"/>
        <v>87.35</v>
      </c>
    </row>
    <row r="94" spans="1:8" ht="45.75">
      <c r="A94" s="185" t="s">
        <v>296</v>
      </c>
      <c r="B94" s="185" t="s">
        <v>298</v>
      </c>
      <c r="C94" s="190" t="s">
        <v>949</v>
      </c>
      <c r="D94" s="185" t="s">
        <v>58</v>
      </c>
      <c r="E94" s="191">
        <v>1102.5</v>
      </c>
      <c r="F94" s="192">
        <f>MEMÓRIA!F654</f>
        <v>1.03</v>
      </c>
      <c r="G94" s="188">
        <f>TRUNC((E94*F94),2)</f>
        <v>1135.57</v>
      </c>
      <c r="H94" s="189">
        <f t="shared" si="3"/>
        <v>1.32</v>
      </c>
    </row>
    <row r="95" spans="1:8" ht="18.75">
      <c r="A95" s="183"/>
      <c r="B95" s="183"/>
      <c r="C95" s="184"/>
      <c r="D95" s="183"/>
      <c r="F95" s="193" t="s">
        <v>282</v>
      </c>
      <c r="G95" s="195">
        <f>SUM(G90:G94)</f>
        <v>13372.36</v>
      </c>
      <c r="H95" s="189"/>
    </row>
    <row r="96" spans="1:8" ht="31.5">
      <c r="A96" s="183"/>
      <c r="B96" s="183"/>
      <c r="C96" s="216" t="s">
        <v>488</v>
      </c>
      <c r="D96" s="543" t="s">
        <v>35</v>
      </c>
      <c r="E96" s="544"/>
      <c r="F96" s="545"/>
      <c r="G96" s="195">
        <f>G28+G37+G57+G78+G83+G88+G95</f>
        <v>299214.01999999996</v>
      </c>
      <c r="H96" s="189"/>
    </row>
    <row r="97" spans="1:8" ht="18.75">
      <c r="A97" s="183"/>
      <c r="B97" s="183"/>
      <c r="C97" s="189"/>
      <c r="D97" s="540" t="s">
        <v>821</v>
      </c>
      <c r="E97" s="541"/>
      <c r="F97" s="542"/>
      <c r="G97" s="195">
        <f>TRUNC((G96*1.2882),2)-G93+E93*F93*1.12</f>
        <v>385813.674</v>
      </c>
      <c r="H97" s="189"/>
    </row>
  </sheetData>
  <sheetProtection/>
  <mergeCells count="15">
    <mergeCell ref="D97:F97"/>
    <mergeCell ref="D96:F96"/>
    <mergeCell ref="D4:G4"/>
    <mergeCell ref="D5:G5"/>
    <mergeCell ref="D6:G6"/>
    <mergeCell ref="D7:G7"/>
    <mergeCell ref="D8:G8"/>
    <mergeCell ref="D3:H3"/>
    <mergeCell ref="A10:A11"/>
    <mergeCell ref="B10:B11"/>
    <mergeCell ref="C10:C11"/>
    <mergeCell ref="D10:D11"/>
    <mergeCell ref="E10:E11"/>
    <mergeCell ref="A9:G9"/>
    <mergeCell ref="F10:G10"/>
  </mergeCells>
  <printOptions horizontalCentered="1"/>
  <pageMargins left="0.984251968503937" right="0" top="0.7480314960629921" bottom="0.7480314960629921" header="0.31496062992125984" footer="0.31496062992125984"/>
  <pageSetup horizontalDpi="300" verticalDpi="300" orientation="landscape" paperSize="9" scale="55" r:id="rId2"/>
  <headerFooter>
    <oddFooter>&amp;C&amp;14&amp;F&amp;R&amp;14Página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1:L96"/>
  <sheetViews>
    <sheetView tabSelected="1" view="pageBreakPreview" zoomScale="70" zoomScaleSheetLayoutView="70" zoomScalePageLayoutView="0" workbookViewId="0" topLeftCell="A82">
      <selection activeCell="I96" sqref="I96"/>
    </sheetView>
  </sheetViews>
  <sheetFormatPr defaultColWidth="9.140625" defaultRowHeight="15"/>
  <cols>
    <col min="1" max="1" width="17.8515625" style="120" customWidth="1"/>
    <col min="2" max="2" width="20.57421875" style="120" customWidth="1"/>
    <col min="3" max="3" width="115.57421875" style="121" customWidth="1"/>
    <col min="4" max="4" width="11.00390625" style="120" customWidth="1"/>
    <col min="5" max="5" width="13.00390625" style="122" bestFit="1" customWidth="1"/>
    <col min="6" max="6" width="16.57421875" style="123" bestFit="1" customWidth="1"/>
    <col min="7" max="7" width="16.57421875" style="123" customWidth="1"/>
    <col min="8" max="8" width="21.421875" style="124" bestFit="1" customWidth="1"/>
    <col min="9" max="9" width="21.421875" style="124" customWidth="1"/>
    <col min="10" max="10" width="10.421875" style="21" bestFit="1" customWidth="1"/>
    <col min="11" max="12" width="14.421875" style="21" bestFit="1" customWidth="1"/>
    <col min="13" max="16384" width="9.140625" style="21" customWidth="1"/>
  </cols>
  <sheetData>
    <row r="1" spans="1:9" ht="22.5" customHeight="1">
      <c r="A1" s="19"/>
      <c r="B1" s="20"/>
      <c r="C1" s="137" t="s">
        <v>38</v>
      </c>
      <c r="D1" s="129"/>
      <c r="E1" s="130"/>
      <c r="F1" s="131"/>
      <c r="G1" s="131"/>
      <c r="H1" s="131"/>
      <c r="I1" s="132"/>
    </row>
    <row r="2" spans="1:9" ht="22.5" customHeight="1">
      <c r="A2" s="22"/>
      <c r="B2" s="23"/>
      <c r="C2" s="127" t="s">
        <v>39</v>
      </c>
      <c r="D2" s="133"/>
      <c r="E2" s="134"/>
      <c r="F2" s="135"/>
      <c r="G2" s="135"/>
      <c r="H2" s="135"/>
      <c r="I2" s="136"/>
    </row>
    <row r="3" spans="1:9" ht="23.25">
      <c r="A3" s="22"/>
      <c r="B3" s="23"/>
      <c r="C3" s="127" t="s">
        <v>40</v>
      </c>
      <c r="D3" s="509" t="s">
        <v>1029</v>
      </c>
      <c r="E3" s="510"/>
      <c r="F3" s="510"/>
      <c r="G3" s="510"/>
      <c r="H3" s="510"/>
      <c r="I3" s="228"/>
    </row>
    <row r="4" spans="1:9" ht="15" customHeight="1">
      <c r="A4" s="22"/>
      <c r="B4" s="23"/>
      <c r="C4" s="128" t="s">
        <v>857</v>
      </c>
      <c r="D4" s="497" t="s">
        <v>1037</v>
      </c>
      <c r="E4" s="498"/>
      <c r="F4" s="498"/>
      <c r="G4" s="499"/>
      <c r="H4" s="21"/>
      <c r="I4" s="229"/>
    </row>
    <row r="5" spans="1:9" ht="16.5" customHeight="1">
      <c r="A5" s="22"/>
      <c r="B5" s="23"/>
      <c r="C5" s="128" t="s">
        <v>191</v>
      </c>
      <c r="D5" s="500" t="s">
        <v>192</v>
      </c>
      <c r="E5" s="501"/>
      <c r="F5" s="501"/>
      <c r="G5" s="501"/>
      <c r="H5" s="501"/>
      <c r="I5" s="230"/>
    </row>
    <row r="6" spans="1:9" ht="16.5" customHeight="1">
      <c r="A6" s="22"/>
      <c r="B6" s="23"/>
      <c r="C6" s="24" t="s">
        <v>742</v>
      </c>
      <c r="D6" s="503" t="s">
        <v>193</v>
      </c>
      <c r="E6" s="504"/>
      <c r="F6" s="504"/>
      <c r="G6" s="504"/>
      <c r="H6" s="504"/>
      <c r="I6" s="231"/>
    </row>
    <row r="7" spans="1:9" ht="16.5" customHeight="1">
      <c r="A7" s="22"/>
      <c r="B7" s="23"/>
      <c r="C7" s="25" t="s">
        <v>606</v>
      </c>
      <c r="D7" s="503" t="s">
        <v>86</v>
      </c>
      <c r="E7" s="504"/>
      <c r="F7" s="504"/>
      <c r="G7" s="504"/>
      <c r="H7" s="504"/>
      <c r="I7" s="231"/>
    </row>
    <row r="8" spans="1:9" ht="16.5" customHeight="1">
      <c r="A8" s="26"/>
      <c r="B8" s="27"/>
      <c r="C8" s="28"/>
      <c r="D8" s="506" t="s">
        <v>743</v>
      </c>
      <c r="E8" s="507"/>
      <c r="F8" s="507"/>
      <c r="G8" s="507"/>
      <c r="H8" s="507"/>
      <c r="I8" s="232"/>
    </row>
    <row r="9" spans="1:9" ht="16.5" customHeight="1">
      <c r="A9" s="537" t="s">
        <v>1031</v>
      </c>
      <c r="B9" s="538"/>
      <c r="C9" s="539"/>
      <c r="D9" s="539"/>
      <c r="E9" s="539"/>
      <c r="F9" s="553"/>
      <c r="G9" s="553"/>
      <c r="H9" s="553"/>
      <c r="I9" s="263"/>
    </row>
    <row r="10" spans="1:9" ht="15.75" customHeight="1">
      <c r="A10" s="549" t="s">
        <v>1</v>
      </c>
      <c r="B10" s="546" t="s">
        <v>87</v>
      </c>
      <c r="C10" s="546" t="s">
        <v>2</v>
      </c>
      <c r="D10" s="549" t="s">
        <v>0</v>
      </c>
      <c r="E10" s="551" t="s">
        <v>3</v>
      </c>
      <c r="F10" s="533" t="s">
        <v>6</v>
      </c>
      <c r="G10" s="533"/>
      <c r="H10" s="533"/>
      <c r="I10" s="533"/>
    </row>
    <row r="11" spans="1:9" ht="21" customHeight="1">
      <c r="A11" s="554"/>
      <c r="B11" s="547"/>
      <c r="C11" s="548"/>
      <c r="D11" s="550"/>
      <c r="E11" s="552"/>
      <c r="F11" s="16" t="s">
        <v>4</v>
      </c>
      <c r="G11" s="16" t="s">
        <v>709</v>
      </c>
      <c r="H11" s="18" t="s">
        <v>5</v>
      </c>
      <c r="I11" s="18" t="s">
        <v>707</v>
      </c>
    </row>
    <row r="12" spans="1:10" ht="18.75">
      <c r="A12" s="183" t="s">
        <v>16</v>
      </c>
      <c r="B12" s="183"/>
      <c r="C12" s="184" t="s">
        <v>59</v>
      </c>
      <c r="D12" s="185"/>
      <c r="E12" s="186"/>
      <c r="F12" s="264"/>
      <c r="G12" s="264"/>
      <c r="H12" s="265"/>
      <c r="I12" s="188"/>
      <c r="J12" s="189"/>
    </row>
    <row r="13" spans="1:12" ht="18.75">
      <c r="A13" s="185" t="s">
        <v>21</v>
      </c>
      <c r="B13" s="185" t="s">
        <v>321</v>
      </c>
      <c r="C13" s="190" t="s">
        <v>327</v>
      </c>
      <c r="D13" s="185" t="s">
        <v>47</v>
      </c>
      <c r="E13" s="191">
        <v>12</v>
      </c>
      <c r="F13" s="192">
        <f>EMOP!F13</f>
        <v>306.82</v>
      </c>
      <c r="G13" s="192">
        <f>TRUNC((F13*1.2882),2)</f>
        <v>395.24</v>
      </c>
      <c r="H13" s="188">
        <f aca="true" t="shared" si="0" ref="H13:H27">TRUNC((E13*F13),2)</f>
        <v>3681.84</v>
      </c>
      <c r="I13" s="188">
        <f>TRUNC((E13*G13),2)</f>
        <v>4742.88</v>
      </c>
      <c r="J13" s="189"/>
      <c r="K13" s="215"/>
      <c r="L13" s="215"/>
    </row>
    <row r="14" spans="1:12" ht="45">
      <c r="A14" s="185" t="s">
        <v>22</v>
      </c>
      <c r="B14" s="185" t="s">
        <v>320</v>
      </c>
      <c r="C14" s="190" t="s">
        <v>328</v>
      </c>
      <c r="D14" s="185" t="s">
        <v>47</v>
      </c>
      <c r="E14" s="191">
        <v>339.99</v>
      </c>
      <c r="F14" s="192">
        <f>EMOP!F14</f>
        <v>40.57</v>
      </c>
      <c r="G14" s="192">
        <f aca="true" t="shared" si="1" ref="G14:G27">TRUNC((F14*1.2882),2)</f>
        <v>52.26</v>
      </c>
      <c r="H14" s="188">
        <f t="shared" si="0"/>
        <v>13793.39</v>
      </c>
      <c r="I14" s="188">
        <f aca="true" t="shared" si="2" ref="I14:I27">TRUNC((E14*G14),2)</f>
        <v>17767.87</v>
      </c>
      <c r="J14" s="189"/>
      <c r="K14" s="215"/>
      <c r="L14" s="215"/>
    </row>
    <row r="15" spans="1:12" ht="45">
      <c r="A15" s="185" t="s">
        <v>23</v>
      </c>
      <c r="B15" s="185" t="s">
        <v>92</v>
      </c>
      <c r="C15" s="190" t="s">
        <v>329</v>
      </c>
      <c r="D15" s="185" t="s">
        <v>47</v>
      </c>
      <c r="E15" s="191">
        <v>10</v>
      </c>
      <c r="F15" s="192">
        <f>EMOP!F15</f>
        <v>321.85</v>
      </c>
      <c r="G15" s="192">
        <f t="shared" si="1"/>
        <v>414.6</v>
      </c>
      <c r="H15" s="188">
        <f t="shared" si="0"/>
        <v>3218.5</v>
      </c>
      <c r="I15" s="188">
        <f t="shared" si="2"/>
        <v>4146</v>
      </c>
      <c r="J15" s="189"/>
      <c r="K15" s="215"/>
      <c r="L15" s="215"/>
    </row>
    <row r="16" spans="1:12" ht="45">
      <c r="A16" s="185" t="s">
        <v>24</v>
      </c>
      <c r="B16" s="185" t="s">
        <v>106</v>
      </c>
      <c r="C16" s="190" t="s">
        <v>330</v>
      </c>
      <c r="D16" s="185" t="s">
        <v>107</v>
      </c>
      <c r="E16" s="191">
        <v>4</v>
      </c>
      <c r="F16" s="192">
        <f>EMOP!F16</f>
        <v>867.22</v>
      </c>
      <c r="G16" s="192">
        <f t="shared" si="1"/>
        <v>1117.15</v>
      </c>
      <c r="H16" s="188">
        <f t="shared" si="0"/>
        <v>3468.88</v>
      </c>
      <c r="I16" s="188">
        <f t="shared" si="2"/>
        <v>4468.6</v>
      </c>
      <c r="J16" s="189"/>
      <c r="K16" s="215"/>
      <c r="L16" s="215"/>
    </row>
    <row r="17" spans="1:12" ht="30">
      <c r="A17" s="185" t="s">
        <v>25</v>
      </c>
      <c r="B17" s="185" t="s">
        <v>110</v>
      </c>
      <c r="C17" s="190" t="s">
        <v>331</v>
      </c>
      <c r="D17" s="185" t="s">
        <v>0</v>
      </c>
      <c r="E17" s="191">
        <v>1</v>
      </c>
      <c r="F17" s="192">
        <f>EMOP!F17</f>
        <v>2815.02</v>
      </c>
      <c r="G17" s="192">
        <f t="shared" si="1"/>
        <v>3626.3</v>
      </c>
      <c r="H17" s="188">
        <f t="shared" si="0"/>
        <v>2815.02</v>
      </c>
      <c r="I17" s="188">
        <f t="shared" si="2"/>
        <v>3626.3</v>
      </c>
      <c r="J17" s="189"/>
      <c r="K17" s="215"/>
      <c r="L17" s="215"/>
    </row>
    <row r="18" spans="1:12" ht="30">
      <c r="A18" s="185" t="s">
        <v>26</v>
      </c>
      <c r="B18" s="185" t="s">
        <v>121</v>
      </c>
      <c r="C18" s="190" t="s">
        <v>332</v>
      </c>
      <c r="D18" s="185" t="s">
        <v>0</v>
      </c>
      <c r="E18" s="191">
        <v>1</v>
      </c>
      <c r="F18" s="192">
        <f>EMOP!F18</f>
        <v>1366.17</v>
      </c>
      <c r="G18" s="192">
        <f t="shared" si="1"/>
        <v>1759.9</v>
      </c>
      <c r="H18" s="188">
        <f t="shared" si="0"/>
        <v>1366.17</v>
      </c>
      <c r="I18" s="188">
        <f t="shared" si="2"/>
        <v>1759.9</v>
      </c>
      <c r="J18" s="189"/>
      <c r="K18" s="215"/>
      <c r="L18" s="215"/>
    </row>
    <row r="19" spans="1:12" ht="30">
      <c r="A19" s="185" t="s">
        <v>31</v>
      </c>
      <c r="B19" s="185" t="s">
        <v>314</v>
      </c>
      <c r="C19" s="190" t="s">
        <v>375</v>
      </c>
      <c r="D19" s="185" t="s">
        <v>203</v>
      </c>
      <c r="E19" s="191">
        <v>487.42</v>
      </c>
      <c r="F19" s="192">
        <f>EMOP!F19</f>
        <v>12.91</v>
      </c>
      <c r="G19" s="192">
        <f t="shared" si="1"/>
        <v>16.63</v>
      </c>
      <c r="H19" s="188">
        <f t="shared" si="0"/>
        <v>6292.59</v>
      </c>
      <c r="I19" s="188">
        <f t="shared" si="2"/>
        <v>8105.79</v>
      </c>
      <c r="J19" s="189"/>
      <c r="K19" s="215"/>
      <c r="L19" s="215"/>
    </row>
    <row r="20" spans="1:12" ht="18.75">
      <c r="A20" s="185" t="s">
        <v>32</v>
      </c>
      <c r="B20" s="185" t="s">
        <v>197</v>
      </c>
      <c r="C20" s="190" t="s">
        <v>623</v>
      </c>
      <c r="D20" s="185" t="s">
        <v>64</v>
      </c>
      <c r="E20" s="191">
        <v>302.63</v>
      </c>
      <c r="F20" s="192">
        <f>EMOP!F20</f>
        <v>9.15</v>
      </c>
      <c r="G20" s="192">
        <f t="shared" si="1"/>
        <v>11.78</v>
      </c>
      <c r="H20" s="188">
        <f t="shared" si="0"/>
        <v>2769.06</v>
      </c>
      <c r="I20" s="188">
        <f t="shared" si="2"/>
        <v>3564.98</v>
      </c>
      <c r="J20" s="189"/>
      <c r="K20" s="215"/>
      <c r="L20" s="215"/>
    </row>
    <row r="21" spans="1:12" ht="45">
      <c r="A21" s="185" t="s">
        <v>33</v>
      </c>
      <c r="B21" s="185" t="s">
        <v>202</v>
      </c>
      <c r="C21" s="190" t="s">
        <v>333</v>
      </c>
      <c r="D21" s="185" t="s">
        <v>0</v>
      </c>
      <c r="E21" s="191">
        <v>4</v>
      </c>
      <c r="F21" s="192">
        <f>EMOP!F21</f>
        <v>42.3</v>
      </c>
      <c r="G21" s="192">
        <f t="shared" si="1"/>
        <v>54.49</v>
      </c>
      <c r="H21" s="188">
        <f t="shared" si="0"/>
        <v>169.2</v>
      </c>
      <c r="I21" s="188">
        <f t="shared" si="2"/>
        <v>217.96</v>
      </c>
      <c r="J21" s="189"/>
      <c r="K21" s="215"/>
      <c r="L21" s="215"/>
    </row>
    <row r="22" spans="1:12" ht="18.75">
      <c r="A22" s="185" t="s">
        <v>34</v>
      </c>
      <c r="B22" s="185" t="s">
        <v>275</v>
      </c>
      <c r="C22" s="190" t="s">
        <v>334</v>
      </c>
      <c r="D22" s="185" t="s">
        <v>0</v>
      </c>
      <c r="E22" s="191">
        <v>8</v>
      </c>
      <c r="F22" s="192">
        <f>EMOP!F22</f>
        <v>88.16</v>
      </c>
      <c r="G22" s="192">
        <f t="shared" si="1"/>
        <v>113.56</v>
      </c>
      <c r="H22" s="188">
        <f t="shared" si="0"/>
        <v>705.28</v>
      </c>
      <c r="I22" s="188">
        <f t="shared" si="2"/>
        <v>908.48</v>
      </c>
      <c r="J22" s="189"/>
      <c r="K22" s="215"/>
      <c r="L22" s="215"/>
    </row>
    <row r="23" spans="1:12" ht="18.75">
      <c r="A23" s="185" t="s">
        <v>132</v>
      </c>
      <c r="B23" s="185" t="s">
        <v>276</v>
      </c>
      <c r="C23" s="190" t="s">
        <v>335</v>
      </c>
      <c r="D23" s="185" t="s">
        <v>0</v>
      </c>
      <c r="E23" s="191">
        <v>4</v>
      </c>
      <c r="F23" s="192">
        <f>EMOP!F23</f>
        <v>5.51</v>
      </c>
      <c r="G23" s="192">
        <f t="shared" si="1"/>
        <v>7.09</v>
      </c>
      <c r="H23" s="188">
        <f t="shared" si="0"/>
        <v>22.04</v>
      </c>
      <c r="I23" s="188">
        <f t="shared" si="2"/>
        <v>28.36</v>
      </c>
      <c r="J23" s="189"/>
      <c r="K23" s="215"/>
      <c r="L23" s="215"/>
    </row>
    <row r="24" spans="1:12" ht="18.75">
      <c r="A24" s="185" t="s">
        <v>133</v>
      </c>
      <c r="B24" s="185" t="s">
        <v>315</v>
      </c>
      <c r="C24" s="190" t="s">
        <v>336</v>
      </c>
      <c r="D24" s="185" t="s">
        <v>42</v>
      </c>
      <c r="E24" s="191">
        <v>93.23</v>
      </c>
      <c r="F24" s="192">
        <f>EMOP!F24</f>
        <v>36.16</v>
      </c>
      <c r="G24" s="192">
        <f t="shared" si="1"/>
        <v>46.58</v>
      </c>
      <c r="H24" s="188">
        <f t="shared" si="0"/>
        <v>3371.19</v>
      </c>
      <c r="I24" s="188">
        <f t="shared" si="2"/>
        <v>4342.65</v>
      </c>
      <c r="J24" s="189"/>
      <c r="K24" s="215"/>
      <c r="L24" s="215"/>
    </row>
    <row r="25" spans="1:12" ht="30">
      <c r="A25" s="185" t="s">
        <v>134</v>
      </c>
      <c r="B25" s="185" t="s">
        <v>204</v>
      </c>
      <c r="C25" s="190" t="s">
        <v>337</v>
      </c>
      <c r="D25" s="185" t="s">
        <v>42</v>
      </c>
      <c r="E25" s="191">
        <v>102.55</v>
      </c>
      <c r="F25" s="192">
        <f>EMOP!F25</f>
        <v>23.02</v>
      </c>
      <c r="G25" s="192">
        <f t="shared" si="1"/>
        <v>29.65</v>
      </c>
      <c r="H25" s="188">
        <f t="shared" si="0"/>
        <v>2360.7</v>
      </c>
      <c r="I25" s="188">
        <f t="shared" si="2"/>
        <v>3040.6</v>
      </c>
      <c r="J25" s="189"/>
      <c r="K25" s="215"/>
      <c r="L25" s="215"/>
    </row>
    <row r="26" spans="1:12" ht="18.75">
      <c r="A26" s="185" t="s">
        <v>316</v>
      </c>
      <c r="B26" s="185" t="s">
        <v>396</v>
      </c>
      <c r="C26" s="190" t="s">
        <v>397</v>
      </c>
      <c r="D26" s="185" t="s">
        <v>47</v>
      </c>
      <c r="E26" s="202">
        <v>26.19</v>
      </c>
      <c r="F26" s="192">
        <f>EMOP!F26</f>
        <v>2.67</v>
      </c>
      <c r="G26" s="192">
        <f t="shared" si="1"/>
        <v>3.43</v>
      </c>
      <c r="H26" s="188">
        <f t="shared" si="0"/>
        <v>69.92</v>
      </c>
      <c r="I26" s="188">
        <f t="shared" si="2"/>
        <v>89.83</v>
      </c>
      <c r="J26" s="189"/>
      <c r="K26" s="215"/>
      <c r="L26" s="215"/>
    </row>
    <row r="27" spans="1:12" ht="30">
      <c r="A27" s="221" t="s">
        <v>628</v>
      </c>
      <c r="B27" s="221" t="s">
        <v>629</v>
      </c>
      <c r="C27" s="222" t="s">
        <v>630</v>
      </c>
      <c r="D27" s="221" t="s">
        <v>47</v>
      </c>
      <c r="E27" s="223">
        <v>46.46</v>
      </c>
      <c r="F27" s="192">
        <f>EMOP!F27</f>
        <v>4.52</v>
      </c>
      <c r="G27" s="192">
        <f t="shared" si="1"/>
        <v>5.82</v>
      </c>
      <c r="H27" s="188">
        <f t="shared" si="0"/>
        <v>209.99</v>
      </c>
      <c r="I27" s="188">
        <f t="shared" si="2"/>
        <v>270.39</v>
      </c>
      <c r="J27" s="189"/>
      <c r="K27" s="215"/>
      <c r="L27" s="215"/>
    </row>
    <row r="28" spans="1:11" ht="18.75">
      <c r="A28" s="198"/>
      <c r="B28" s="198"/>
      <c r="C28" s="199"/>
      <c r="D28" s="198"/>
      <c r="E28" s="197"/>
      <c r="F28" s="200" t="s">
        <v>37</v>
      </c>
      <c r="G28" s="200"/>
      <c r="H28" s="201">
        <f>SUM(H13:H27)</f>
        <v>44313.76999999999</v>
      </c>
      <c r="I28" s="201">
        <f>SUM(I13:I27)</f>
        <v>57080.59000000001</v>
      </c>
      <c r="J28" s="189"/>
      <c r="K28" s="215"/>
    </row>
    <row r="29" spans="1:11" ht="18.75">
      <c r="A29" s="183" t="s">
        <v>27</v>
      </c>
      <c r="B29" s="183"/>
      <c r="C29" s="184" t="s">
        <v>492</v>
      </c>
      <c r="D29" s="183"/>
      <c r="E29" s="193"/>
      <c r="F29" s="194"/>
      <c r="G29" s="194"/>
      <c r="H29" s="195"/>
      <c r="I29" s="195"/>
      <c r="J29" s="189"/>
      <c r="K29" s="215"/>
    </row>
    <row r="30" spans="1:11" ht="45">
      <c r="A30" s="185" t="s">
        <v>28</v>
      </c>
      <c r="B30" s="185" t="s">
        <v>401</v>
      </c>
      <c r="C30" s="190" t="s">
        <v>634</v>
      </c>
      <c r="D30" s="185" t="s">
        <v>64</v>
      </c>
      <c r="E30" s="191">
        <v>123.5</v>
      </c>
      <c r="F30" s="192">
        <f>EMOP!F30</f>
        <v>36.47</v>
      </c>
      <c r="G30" s="192">
        <f aca="true" t="shared" si="3" ref="G30:G36">TRUNC((F30*1.2882),2)</f>
        <v>46.98</v>
      </c>
      <c r="H30" s="188">
        <f aca="true" t="shared" si="4" ref="H30:H36">TRUNC((E30*F30),2)</f>
        <v>4504.04</v>
      </c>
      <c r="I30" s="188">
        <f aca="true" t="shared" si="5" ref="I30:I36">TRUNC((E30*G30),2)</f>
        <v>5802.03</v>
      </c>
      <c r="J30" s="189"/>
      <c r="K30" s="215"/>
    </row>
    <row r="31" spans="1:11" ht="18.75">
      <c r="A31" s="185" t="s">
        <v>317</v>
      </c>
      <c r="B31" s="185" t="s">
        <v>136</v>
      </c>
      <c r="C31" s="190" t="s">
        <v>339</v>
      </c>
      <c r="D31" s="185" t="s">
        <v>64</v>
      </c>
      <c r="E31" s="191">
        <v>144.6</v>
      </c>
      <c r="F31" s="192">
        <f>EMOP!F31</f>
        <v>33.44</v>
      </c>
      <c r="G31" s="192">
        <f t="shared" si="3"/>
        <v>43.07</v>
      </c>
      <c r="H31" s="188">
        <f t="shared" si="4"/>
        <v>4835.42</v>
      </c>
      <c r="I31" s="188">
        <f t="shared" si="5"/>
        <v>6227.92</v>
      </c>
      <c r="J31" s="189"/>
      <c r="K31" s="215"/>
    </row>
    <row r="32" spans="1:11" ht="30">
      <c r="A32" s="185" t="s">
        <v>318</v>
      </c>
      <c r="B32" s="185" t="s">
        <v>206</v>
      </c>
      <c r="C32" s="190" t="s">
        <v>340</v>
      </c>
      <c r="D32" s="185" t="s">
        <v>47</v>
      </c>
      <c r="E32" s="191">
        <v>415.62</v>
      </c>
      <c r="F32" s="192">
        <f>EMOP!F32</f>
        <v>56.82</v>
      </c>
      <c r="G32" s="192">
        <f t="shared" si="3"/>
        <v>73.19</v>
      </c>
      <c r="H32" s="188">
        <f t="shared" si="4"/>
        <v>23615.52</v>
      </c>
      <c r="I32" s="188">
        <f t="shared" si="5"/>
        <v>30419.22</v>
      </c>
      <c r="J32" s="189"/>
      <c r="K32" s="215"/>
    </row>
    <row r="33" spans="1:11" ht="30">
      <c r="A33" s="185" t="s">
        <v>29</v>
      </c>
      <c r="B33" s="185" t="s">
        <v>379</v>
      </c>
      <c r="C33" s="190" t="s">
        <v>393</v>
      </c>
      <c r="D33" s="185" t="s">
        <v>47</v>
      </c>
      <c r="E33" s="191">
        <v>3.45</v>
      </c>
      <c r="F33" s="192">
        <f>EMOP!F33</f>
        <v>110.17</v>
      </c>
      <c r="G33" s="192">
        <f t="shared" si="3"/>
        <v>141.92</v>
      </c>
      <c r="H33" s="188">
        <f t="shared" si="4"/>
        <v>380.08</v>
      </c>
      <c r="I33" s="188">
        <f t="shared" si="5"/>
        <v>489.62</v>
      </c>
      <c r="J33" s="189"/>
      <c r="K33" s="215"/>
    </row>
    <row r="34" spans="1:11" ht="30">
      <c r="A34" s="185" t="s">
        <v>194</v>
      </c>
      <c r="B34" s="185" t="s">
        <v>380</v>
      </c>
      <c r="C34" s="190" t="s">
        <v>394</v>
      </c>
      <c r="D34" s="185" t="s">
        <v>47</v>
      </c>
      <c r="E34" s="191">
        <v>14.96</v>
      </c>
      <c r="F34" s="192">
        <f>EMOP!F34</f>
        <v>110.17</v>
      </c>
      <c r="G34" s="192">
        <f t="shared" si="3"/>
        <v>141.92</v>
      </c>
      <c r="H34" s="188">
        <f t="shared" si="4"/>
        <v>1648.14</v>
      </c>
      <c r="I34" s="188">
        <f t="shared" si="5"/>
        <v>2123.12</v>
      </c>
      <c r="J34" s="189"/>
      <c r="K34" s="215"/>
    </row>
    <row r="35" spans="1:11" ht="18.75">
      <c r="A35" s="185" t="s">
        <v>30</v>
      </c>
      <c r="B35" s="185" t="s">
        <v>207</v>
      </c>
      <c r="C35" s="190" t="s">
        <v>395</v>
      </c>
      <c r="D35" s="185" t="s">
        <v>47</v>
      </c>
      <c r="E35" s="191">
        <v>20.91</v>
      </c>
      <c r="F35" s="192">
        <f>EMOP!F35</f>
        <v>81.95</v>
      </c>
      <c r="G35" s="192">
        <f t="shared" si="3"/>
        <v>105.56</v>
      </c>
      <c r="H35" s="188">
        <f t="shared" si="4"/>
        <v>1713.57</v>
      </c>
      <c r="I35" s="188">
        <f t="shared" si="5"/>
        <v>2207.25</v>
      </c>
      <c r="J35" s="189"/>
      <c r="K35" s="215"/>
    </row>
    <row r="36" spans="1:11" ht="30">
      <c r="A36" s="185" t="s">
        <v>65</v>
      </c>
      <c r="B36" s="185" t="s">
        <v>618</v>
      </c>
      <c r="C36" s="190" t="s">
        <v>660</v>
      </c>
      <c r="D36" s="185" t="s">
        <v>47</v>
      </c>
      <c r="E36" s="191">
        <v>16.07</v>
      </c>
      <c r="F36" s="192">
        <f>EMOP!F36</f>
        <v>21.83</v>
      </c>
      <c r="G36" s="192">
        <f t="shared" si="3"/>
        <v>28.12</v>
      </c>
      <c r="H36" s="188">
        <f t="shared" si="4"/>
        <v>350.8</v>
      </c>
      <c r="I36" s="188">
        <f t="shared" si="5"/>
        <v>451.88</v>
      </c>
      <c r="J36" s="189"/>
      <c r="K36" s="215"/>
    </row>
    <row r="37" spans="1:12" ht="18.75">
      <c r="A37" s="183"/>
      <c r="B37" s="183"/>
      <c r="C37" s="184"/>
      <c r="D37" s="183"/>
      <c r="E37" s="197"/>
      <c r="F37" s="193" t="s">
        <v>36</v>
      </c>
      <c r="G37" s="193"/>
      <c r="H37" s="195">
        <f>SUM(H30:H36)</f>
        <v>37047.57</v>
      </c>
      <c r="I37" s="195">
        <f>SUM(I30:I36)</f>
        <v>47721.04</v>
      </c>
      <c r="J37" s="189"/>
      <c r="K37" s="215"/>
      <c r="L37" s="83"/>
    </row>
    <row r="38" spans="1:11" ht="18.75">
      <c r="A38" s="183" t="s">
        <v>60</v>
      </c>
      <c r="B38" s="183"/>
      <c r="C38" s="184" t="s">
        <v>212</v>
      </c>
      <c r="D38" s="183"/>
      <c r="E38" s="193"/>
      <c r="F38" s="194"/>
      <c r="G38" s="194"/>
      <c r="H38" s="195"/>
      <c r="I38" s="195"/>
      <c r="J38" s="189"/>
      <c r="K38" s="215"/>
    </row>
    <row r="39" spans="1:11" ht="90">
      <c r="A39" s="185" t="s">
        <v>45</v>
      </c>
      <c r="B39" s="185" t="s">
        <v>831</v>
      </c>
      <c r="C39" s="190" t="s">
        <v>826</v>
      </c>
      <c r="D39" s="185" t="s">
        <v>64</v>
      </c>
      <c r="E39" s="191">
        <v>104</v>
      </c>
      <c r="F39" s="192">
        <f>EMOP!F39</f>
        <v>50.66</v>
      </c>
      <c r="G39" s="192">
        <f aca="true" t="shared" si="6" ref="G39:G53">TRUNC((F39*1.2882),2)</f>
        <v>65.26</v>
      </c>
      <c r="H39" s="188">
        <f>TRUNC((E39*F39),2)</f>
        <v>5268.64</v>
      </c>
      <c r="I39" s="188">
        <f>TRUNC((E39*G39),2)</f>
        <v>6787.04</v>
      </c>
      <c r="J39" s="189"/>
      <c r="K39" s="215"/>
    </row>
    <row r="40" spans="1:11" ht="30">
      <c r="A40" s="185" t="s">
        <v>69</v>
      </c>
      <c r="B40" s="185" t="s">
        <v>49</v>
      </c>
      <c r="C40" s="190" t="s">
        <v>627</v>
      </c>
      <c r="D40" s="185" t="s">
        <v>310</v>
      </c>
      <c r="E40" s="191">
        <v>14.63</v>
      </c>
      <c r="F40" s="192">
        <f>EMOP!F40</f>
        <v>43.91</v>
      </c>
      <c r="G40" s="192">
        <f t="shared" si="6"/>
        <v>56.56</v>
      </c>
      <c r="H40" s="188">
        <f aca="true" t="shared" si="7" ref="H40:H53">TRUNC((E40*F40),2)</f>
        <v>642.4</v>
      </c>
      <c r="I40" s="188">
        <f aca="true" t="shared" si="8" ref="I40:I53">TRUNC((E40*G40),2)</f>
        <v>827.47</v>
      </c>
      <c r="J40" s="189"/>
      <c r="K40" s="215"/>
    </row>
    <row r="41" spans="1:11" ht="30">
      <c r="A41" s="185" t="s">
        <v>61</v>
      </c>
      <c r="B41" s="185" t="s">
        <v>53</v>
      </c>
      <c r="C41" s="190" t="s">
        <v>341</v>
      </c>
      <c r="D41" s="185" t="s">
        <v>310</v>
      </c>
      <c r="E41" s="191">
        <v>9.75</v>
      </c>
      <c r="F41" s="192">
        <f>EMOP!F41</f>
        <v>17.17</v>
      </c>
      <c r="G41" s="192">
        <f t="shared" si="6"/>
        <v>22.11</v>
      </c>
      <c r="H41" s="188">
        <f t="shared" si="7"/>
        <v>167.4</v>
      </c>
      <c r="I41" s="188">
        <f t="shared" si="8"/>
        <v>215.57</v>
      </c>
      <c r="J41" s="189"/>
      <c r="K41" s="215"/>
    </row>
    <row r="42" spans="1:11" ht="30">
      <c r="A42" s="185" t="s">
        <v>62</v>
      </c>
      <c r="B42" s="185" t="s">
        <v>618</v>
      </c>
      <c r="C42" s="190" t="s">
        <v>624</v>
      </c>
      <c r="D42" s="185" t="s">
        <v>47</v>
      </c>
      <c r="E42" s="191">
        <v>13.94</v>
      </c>
      <c r="F42" s="192">
        <f>EMOP!F42</f>
        <v>21.83</v>
      </c>
      <c r="G42" s="192">
        <f t="shared" si="6"/>
        <v>28.12</v>
      </c>
      <c r="H42" s="188">
        <f t="shared" si="7"/>
        <v>304.31</v>
      </c>
      <c r="I42" s="188">
        <f t="shared" si="8"/>
        <v>391.99</v>
      </c>
      <c r="J42" s="189"/>
      <c r="K42" s="215"/>
    </row>
    <row r="43" spans="1:11" s="471" customFormat="1" ht="65.25">
      <c r="A43" s="464" t="s">
        <v>166</v>
      </c>
      <c r="B43" s="472" t="s">
        <v>836</v>
      </c>
      <c r="C43" s="465" t="s">
        <v>1036</v>
      </c>
      <c r="D43" s="464" t="s">
        <v>42</v>
      </c>
      <c r="E43" s="466">
        <v>4.18</v>
      </c>
      <c r="F43" s="467">
        <f>EMOP!F43</f>
        <v>1978.28</v>
      </c>
      <c r="G43" s="467">
        <f t="shared" si="6"/>
        <v>2548.42</v>
      </c>
      <c r="H43" s="468">
        <f t="shared" si="7"/>
        <v>8269.21</v>
      </c>
      <c r="I43" s="468">
        <f t="shared" si="8"/>
        <v>10652.39</v>
      </c>
      <c r="J43" s="469"/>
      <c r="K43" s="470"/>
    </row>
    <row r="44" spans="1:11" s="471" customFormat="1" ht="79.5" customHeight="1">
      <c r="A44" s="464" t="s">
        <v>169</v>
      </c>
      <c r="B44" s="472" t="s">
        <v>1032</v>
      </c>
      <c r="C44" s="465" t="s">
        <v>1035</v>
      </c>
      <c r="D44" s="464" t="s">
        <v>42</v>
      </c>
      <c r="E44" s="466">
        <v>3.37</v>
      </c>
      <c r="F44" s="467">
        <f>EMOP!F44</f>
        <v>2045.8</v>
      </c>
      <c r="G44" s="467">
        <f t="shared" si="6"/>
        <v>2635.39</v>
      </c>
      <c r="H44" s="468">
        <f t="shared" si="7"/>
        <v>6894.34</v>
      </c>
      <c r="I44" s="468">
        <f t="shared" si="8"/>
        <v>8881.26</v>
      </c>
      <c r="J44" s="469"/>
      <c r="K44" s="470"/>
    </row>
    <row r="45" spans="1:11" s="471" customFormat="1" ht="65.25">
      <c r="A45" s="464" t="s">
        <v>170</v>
      </c>
      <c r="B45" s="472" t="s">
        <v>1033</v>
      </c>
      <c r="C45" s="465" t="s">
        <v>1034</v>
      </c>
      <c r="D45" s="464" t="s">
        <v>42</v>
      </c>
      <c r="E45" s="466">
        <v>1.51</v>
      </c>
      <c r="F45" s="467">
        <f>EMOP!F45</f>
        <v>2544.39</v>
      </c>
      <c r="G45" s="467">
        <f t="shared" si="6"/>
        <v>3277.68</v>
      </c>
      <c r="H45" s="468">
        <f t="shared" si="7"/>
        <v>3842.02</v>
      </c>
      <c r="I45" s="468">
        <f t="shared" si="8"/>
        <v>4949.29</v>
      </c>
      <c r="J45" s="469"/>
      <c r="K45" s="470"/>
    </row>
    <row r="46" spans="1:11" ht="30">
      <c r="A46" s="185" t="s">
        <v>299</v>
      </c>
      <c r="B46" s="185" t="s">
        <v>219</v>
      </c>
      <c r="C46" s="190" t="s">
        <v>338</v>
      </c>
      <c r="D46" s="185" t="s">
        <v>203</v>
      </c>
      <c r="E46" s="191">
        <v>349.77</v>
      </c>
      <c r="F46" s="192">
        <f>EMOP!F46</f>
        <v>141.51</v>
      </c>
      <c r="G46" s="192">
        <f t="shared" si="6"/>
        <v>182.29</v>
      </c>
      <c r="H46" s="188">
        <f t="shared" si="7"/>
        <v>49495.95</v>
      </c>
      <c r="I46" s="188">
        <f t="shared" si="8"/>
        <v>63759.57</v>
      </c>
      <c r="J46" s="189"/>
      <c r="K46" s="215"/>
    </row>
    <row r="47" spans="1:11" s="178" customFormat="1" ht="75">
      <c r="A47" s="185" t="s">
        <v>311</v>
      </c>
      <c r="B47" s="185" t="s">
        <v>968</v>
      </c>
      <c r="C47" s="190" t="s">
        <v>969</v>
      </c>
      <c r="D47" s="185" t="s">
        <v>47</v>
      </c>
      <c r="E47" s="191">
        <v>7.2</v>
      </c>
      <c r="F47" s="192">
        <v>345.2</v>
      </c>
      <c r="G47" s="192">
        <f t="shared" si="6"/>
        <v>444.68</v>
      </c>
      <c r="H47" s="188">
        <f t="shared" si="7"/>
        <v>2485.44</v>
      </c>
      <c r="I47" s="188">
        <f t="shared" si="8"/>
        <v>3201.69</v>
      </c>
      <c r="J47" s="320"/>
      <c r="K47" s="321"/>
    </row>
    <row r="48" spans="1:11" ht="45">
      <c r="A48" s="185" t="s">
        <v>312</v>
      </c>
      <c r="B48" s="185" t="s">
        <v>1007</v>
      </c>
      <c r="C48" s="190" t="s">
        <v>1012</v>
      </c>
      <c r="D48" s="185" t="s">
        <v>47</v>
      </c>
      <c r="E48" s="191">
        <v>501.89</v>
      </c>
      <c r="F48" s="192">
        <f>EMOP!F48</f>
        <v>78.3</v>
      </c>
      <c r="G48" s="192">
        <f t="shared" si="6"/>
        <v>100.86</v>
      </c>
      <c r="H48" s="188">
        <f t="shared" si="7"/>
        <v>39297.98</v>
      </c>
      <c r="I48" s="188">
        <f t="shared" si="8"/>
        <v>50620.62</v>
      </c>
      <c r="J48" s="189"/>
      <c r="K48" s="215"/>
    </row>
    <row r="49" spans="1:11" ht="18.75">
      <c r="A49" s="185" t="s">
        <v>319</v>
      </c>
      <c r="B49" s="185" t="s">
        <v>405</v>
      </c>
      <c r="C49" s="190" t="s">
        <v>421</v>
      </c>
      <c r="D49" s="185" t="s">
        <v>420</v>
      </c>
      <c r="E49" s="191">
        <v>1</v>
      </c>
      <c r="F49" s="192">
        <f>EMOP!F49</f>
        <v>1187.54</v>
      </c>
      <c r="G49" s="192">
        <f t="shared" si="6"/>
        <v>1529.78</v>
      </c>
      <c r="H49" s="188">
        <f t="shared" si="7"/>
        <v>1187.54</v>
      </c>
      <c r="I49" s="188">
        <f t="shared" si="8"/>
        <v>1529.78</v>
      </c>
      <c r="J49" s="189"/>
      <c r="K49" s="215"/>
    </row>
    <row r="50" spans="1:11" ht="30">
      <c r="A50" s="185" t="s">
        <v>621</v>
      </c>
      <c r="B50" s="185" t="s">
        <v>418</v>
      </c>
      <c r="C50" s="190" t="s">
        <v>419</v>
      </c>
      <c r="D50" s="185" t="s">
        <v>420</v>
      </c>
      <c r="E50" s="191">
        <v>1</v>
      </c>
      <c r="F50" s="192">
        <f>EMOP!F50</f>
        <v>1836.8</v>
      </c>
      <c r="G50" s="192">
        <f t="shared" si="6"/>
        <v>2366.16</v>
      </c>
      <c r="H50" s="188">
        <f t="shared" si="7"/>
        <v>1836.8</v>
      </c>
      <c r="I50" s="188">
        <f t="shared" si="8"/>
        <v>2366.16</v>
      </c>
      <c r="J50" s="189"/>
      <c r="K50" s="215"/>
    </row>
    <row r="51" spans="1:11" ht="45">
      <c r="A51" s="185" t="s">
        <v>722</v>
      </c>
      <c r="B51" s="185" t="s">
        <v>710</v>
      </c>
      <c r="C51" s="190" t="s">
        <v>711</v>
      </c>
      <c r="D51" s="185" t="s">
        <v>64</v>
      </c>
      <c r="E51" s="191">
        <v>617.77</v>
      </c>
      <c r="F51" s="192">
        <f>EMOP!F51</f>
        <v>29.82</v>
      </c>
      <c r="G51" s="192">
        <f t="shared" si="6"/>
        <v>38.41</v>
      </c>
      <c r="H51" s="188">
        <f t="shared" si="7"/>
        <v>18421.9</v>
      </c>
      <c r="I51" s="188">
        <f t="shared" si="8"/>
        <v>23728.54</v>
      </c>
      <c r="J51" s="189"/>
      <c r="K51" s="215"/>
    </row>
    <row r="52" spans="1:11" ht="18.75">
      <c r="A52" s="185" t="s">
        <v>725</v>
      </c>
      <c r="B52" s="185" t="s">
        <v>735</v>
      </c>
      <c r="C52" s="190" t="s">
        <v>736</v>
      </c>
      <c r="D52" s="185" t="s">
        <v>420</v>
      </c>
      <c r="E52" s="191">
        <v>1</v>
      </c>
      <c r="F52" s="192">
        <f>EMOP!F52</f>
        <v>720</v>
      </c>
      <c r="G52" s="192">
        <f t="shared" si="6"/>
        <v>927.5</v>
      </c>
      <c r="H52" s="188">
        <f t="shared" si="7"/>
        <v>720</v>
      </c>
      <c r="I52" s="188">
        <f t="shared" si="8"/>
        <v>927.5</v>
      </c>
      <c r="J52" s="189"/>
      <c r="K52" s="215"/>
    </row>
    <row r="53" spans="1:11" ht="18.75">
      <c r="A53" s="185" t="s">
        <v>734</v>
      </c>
      <c r="B53" s="185" t="s">
        <v>730</v>
      </c>
      <c r="C53" s="190" t="s">
        <v>737</v>
      </c>
      <c r="D53" s="185" t="s">
        <v>224</v>
      </c>
      <c r="E53" s="191">
        <v>1</v>
      </c>
      <c r="F53" s="192">
        <f>EMOP!F53</f>
        <v>129.95</v>
      </c>
      <c r="G53" s="192">
        <f t="shared" si="6"/>
        <v>167.4</v>
      </c>
      <c r="H53" s="188">
        <f t="shared" si="7"/>
        <v>129.95</v>
      </c>
      <c r="I53" s="188">
        <f t="shared" si="8"/>
        <v>167.4</v>
      </c>
      <c r="J53" s="189"/>
      <c r="K53" s="215"/>
    </row>
    <row r="54" spans="1:11" ht="30">
      <c r="A54" s="185" t="s">
        <v>843</v>
      </c>
      <c r="B54" s="185" t="s">
        <v>886</v>
      </c>
      <c r="C54" s="190" t="s">
        <v>893</v>
      </c>
      <c r="D54" s="185" t="s">
        <v>203</v>
      </c>
      <c r="E54" s="191">
        <v>66.14</v>
      </c>
      <c r="F54" s="192">
        <v>59.62</v>
      </c>
      <c r="G54" s="192">
        <f>TRUNC((F54*1.2882),2)</f>
        <v>76.8</v>
      </c>
      <c r="H54" s="188">
        <f>TRUNC((E54*F54),2)</f>
        <v>3943.26</v>
      </c>
      <c r="I54" s="188">
        <f>TRUNC((E54*G54),2)</f>
        <v>5079.55</v>
      </c>
      <c r="J54" s="189"/>
      <c r="K54" s="215"/>
    </row>
    <row r="55" spans="1:11" ht="45">
      <c r="A55" s="185" t="s">
        <v>909</v>
      </c>
      <c r="B55" s="185" t="s">
        <v>912</v>
      </c>
      <c r="C55" s="190" t="s">
        <v>913</v>
      </c>
      <c r="D55" s="185" t="s">
        <v>47</v>
      </c>
      <c r="E55" s="191">
        <v>242.92</v>
      </c>
      <c r="F55" s="192">
        <v>23.74</v>
      </c>
      <c r="G55" s="192">
        <f>TRUNC((F55*1.2882),2)</f>
        <v>30.58</v>
      </c>
      <c r="H55" s="188">
        <f>TRUNC((E55*F55),2)</f>
        <v>5766.92</v>
      </c>
      <c r="I55" s="188">
        <f>TRUNC((E55*G55),2)</f>
        <v>7428.49</v>
      </c>
      <c r="J55" s="189"/>
      <c r="K55" s="215"/>
    </row>
    <row r="56" spans="1:11" ht="30">
      <c r="A56" s="185" t="s">
        <v>1020</v>
      </c>
      <c r="B56" s="185" t="s">
        <v>1021</v>
      </c>
      <c r="C56" s="190" t="s">
        <v>1022</v>
      </c>
      <c r="D56" s="185" t="s">
        <v>47</v>
      </c>
      <c r="E56" s="191">
        <v>602.27</v>
      </c>
      <c r="F56" s="192">
        <v>9.79</v>
      </c>
      <c r="G56" s="192">
        <f>TRUNC((F56*1.2882),2)</f>
        <v>12.61</v>
      </c>
      <c r="H56" s="188">
        <f>TRUNC((E56*F56),2)</f>
        <v>5896.22</v>
      </c>
      <c r="I56" s="188">
        <f>TRUNC((E56*G56),2)</f>
        <v>7594.62</v>
      </c>
      <c r="J56" s="189"/>
      <c r="K56" s="215"/>
    </row>
    <row r="57" spans="1:11" ht="18.75">
      <c r="A57" s="183"/>
      <c r="B57" s="183"/>
      <c r="C57" s="184"/>
      <c r="D57" s="183"/>
      <c r="E57" s="197"/>
      <c r="F57" s="193" t="s">
        <v>63</v>
      </c>
      <c r="G57" s="193"/>
      <c r="H57" s="201">
        <f>SUM(H39:H56)</f>
        <v>154570.28000000003</v>
      </c>
      <c r="I57" s="201">
        <f>SUM(I39:I56)</f>
        <v>199108.93</v>
      </c>
      <c r="J57" s="189"/>
      <c r="K57" s="215"/>
    </row>
    <row r="58" spans="1:11" ht="18.75">
      <c r="A58" s="183" t="s">
        <v>68</v>
      </c>
      <c r="B58" s="183"/>
      <c r="C58" s="184" t="s">
        <v>144</v>
      </c>
      <c r="D58" s="185"/>
      <c r="E58" s="186"/>
      <c r="F58" s="192"/>
      <c r="G58" s="192"/>
      <c r="H58" s="188"/>
      <c r="I58" s="188"/>
      <c r="J58" s="189"/>
      <c r="K58" s="215"/>
    </row>
    <row r="59" spans="1:11" ht="60">
      <c r="A59" s="185" t="s">
        <v>70</v>
      </c>
      <c r="B59" s="185" t="s">
        <v>145</v>
      </c>
      <c r="C59" s="190" t="s">
        <v>362</v>
      </c>
      <c r="D59" s="185" t="s">
        <v>0</v>
      </c>
      <c r="E59" s="191">
        <v>1</v>
      </c>
      <c r="F59" s="192">
        <f>EMOP!F59</f>
        <v>2210.67</v>
      </c>
      <c r="G59" s="192">
        <f aca="true" t="shared" si="9" ref="G59:G77">TRUNC((F59*1.2882),2)</f>
        <v>2847.78</v>
      </c>
      <c r="H59" s="188">
        <f aca="true" t="shared" si="10" ref="H59:H77">TRUNC((E59*F59),2)</f>
        <v>2210.67</v>
      </c>
      <c r="I59" s="188">
        <f aca="true" t="shared" si="11" ref="I59:I77">TRUNC((E59*G59),2)</f>
        <v>2847.78</v>
      </c>
      <c r="J59" s="189"/>
      <c r="K59" s="215"/>
    </row>
    <row r="60" spans="1:11" ht="18.75">
      <c r="A60" s="185" t="s">
        <v>71</v>
      </c>
      <c r="B60" s="185" t="s">
        <v>171</v>
      </c>
      <c r="C60" s="190" t="s">
        <v>363</v>
      </c>
      <c r="D60" s="185" t="s">
        <v>0</v>
      </c>
      <c r="E60" s="191">
        <v>1</v>
      </c>
      <c r="F60" s="192">
        <f>EMOP!F60</f>
        <v>85.11</v>
      </c>
      <c r="G60" s="192">
        <f t="shared" si="9"/>
        <v>109.63</v>
      </c>
      <c r="H60" s="188">
        <f t="shared" si="10"/>
        <v>85.11</v>
      </c>
      <c r="I60" s="188">
        <f t="shared" si="11"/>
        <v>109.63</v>
      </c>
      <c r="J60" s="189"/>
      <c r="K60" s="215"/>
    </row>
    <row r="61" spans="1:11" ht="18.75">
      <c r="A61" s="185" t="s">
        <v>72</v>
      </c>
      <c r="B61" s="185" t="s">
        <v>173</v>
      </c>
      <c r="C61" s="190" t="s">
        <v>364</v>
      </c>
      <c r="D61" s="185" t="s">
        <v>0</v>
      </c>
      <c r="E61" s="191">
        <v>1</v>
      </c>
      <c r="F61" s="192">
        <f>EMOP!F61</f>
        <v>133.24</v>
      </c>
      <c r="G61" s="192">
        <f t="shared" si="9"/>
        <v>171.63</v>
      </c>
      <c r="H61" s="188">
        <f t="shared" si="10"/>
        <v>133.24</v>
      </c>
      <c r="I61" s="188">
        <f t="shared" si="11"/>
        <v>171.63</v>
      </c>
      <c r="J61" s="189"/>
      <c r="K61" s="215"/>
    </row>
    <row r="62" spans="1:11" ht="30">
      <c r="A62" s="185" t="s">
        <v>227</v>
      </c>
      <c r="B62" s="185" t="s">
        <v>237</v>
      </c>
      <c r="C62" s="190" t="s">
        <v>343</v>
      </c>
      <c r="D62" s="185" t="s">
        <v>64</v>
      </c>
      <c r="E62" s="191">
        <v>120</v>
      </c>
      <c r="F62" s="192">
        <f>EMOP!F62</f>
        <v>5.26</v>
      </c>
      <c r="G62" s="192">
        <f t="shared" si="9"/>
        <v>6.77</v>
      </c>
      <c r="H62" s="188">
        <f t="shared" si="10"/>
        <v>631.2</v>
      </c>
      <c r="I62" s="188">
        <f t="shared" si="11"/>
        <v>812.4</v>
      </c>
      <c r="J62" s="189"/>
      <c r="K62" s="215"/>
    </row>
    <row r="63" spans="1:11" ht="30">
      <c r="A63" s="185" t="s">
        <v>228</v>
      </c>
      <c r="B63" s="185" t="s">
        <v>239</v>
      </c>
      <c r="C63" s="190" t="s">
        <v>344</v>
      </c>
      <c r="D63" s="185" t="s">
        <v>64</v>
      </c>
      <c r="E63" s="191">
        <v>110</v>
      </c>
      <c r="F63" s="192">
        <f>EMOP!F63</f>
        <v>2.4</v>
      </c>
      <c r="G63" s="192">
        <f t="shared" si="9"/>
        <v>3.09</v>
      </c>
      <c r="H63" s="188">
        <f t="shared" si="10"/>
        <v>264</v>
      </c>
      <c r="I63" s="188">
        <f t="shared" si="11"/>
        <v>339.9</v>
      </c>
      <c r="J63" s="189"/>
      <c r="K63" s="215"/>
    </row>
    <row r="64" spans="1:11" ht="30">
      <c r="A64" s="185" t="s">
        <v>229</v>
      </c>
      <c r="B64" s="185" t="s">
        <v>241</v>
      </c>
      <c r="C64" s="190" t="s">
        <v>345</v>
      </c>
      <c r="D64" s="185" t="s">
        <v>64</v>
      </c>
      <c r="E64" s="191">
        <v>720</v>
      </c>
      <c r="F64" s="192">
        <f>EMOP!F64</f>
        <v>3.29</v>
      </c>
      <c r="G64" s="192">
        <f t="shared" si="9"/>
        <v>4.23</v>
      </c>
      <c r="H64" s="188">
        <f t="shared" si="10"/>
        <v>2368.8</v>
      </c>
      <c r="I64" s="188">
        <f t="shared" si="11"/>
        <v>3045.6</v>
      </c>
      <c r="J64" s="189"/>
      <c r="K64" s="215"/>
    </row>
    <row r="65" spans="1:11" ht="30">
      <c r="A65" s="185" t="s">
        <v>230</v>
      </c>
      <c r="B65" s="185" t="s">
        <v>243</v>
      </c>
      <c r="C65" s="190" t="s">
        <v>346</v>
      </c>
      <c r="D65" s="185" t="s">
        <v>64</v>
      </c>
      <c r="E65" s="191">
        <v>30</v>
      </c>
      <c r="F65" s="192">
        <f>EMOP!F65</f>
        <v>6</v>
      </c>
      <c r="G65" s="192">
        <f t="shared" si="9"/>
        <v>7.72</v>
      </c>
      <c r="H65" s="188">
        <f t="shared" si="10"/>
        <v>180</v>
      </c>
      <c r="I65" s="188">
        <f t="shared" si="11"/>
        <v>231.6</v>
      </c>
      <c r="J65" s="189"/>
      <c r="K65" s="215"/>
    </row>
    <row r="66" spans="1:11" ht="45">
      <c r="A66" s="185" t="s">
        <v>231</v>
      </c>
      <c r="B66" s="185" t="s">
        <v>251</v>
      </c>
      <c r="C66" s="190" t="s">
        <v>347</v>
      </c>
      <c r="D66" s="185" t="s">
        <v>0</v>
      </c>
      <c r="E66" s="191">
        <v>1</v>
      </c>
      <c r="F66" s="192">
        <f>EMOP!F66</f>
        <v>277.25</v>
      </c>
      <c r="G66" s="192">
        <f t="shared" si="9"/>
        <v>357.15</v>
      </c>
      <c r="H66" s="188">
        <f t="shared" si="10"/>
        <v>277.25</v>
      </c>
      <c r="I66" s="188">
        <f t="shared" si="11"/>
        <v>357.15</v>
      </c>
      <c r="J66" s="189"/>
      <c r="K66" s="215"/>
    </row>
    <row r="67" spans="1:11" ht="18.75">
      <c r="A67" s="185" t="s">
        <v>232</v>
      </c>
      <c r="B67" s="185" t="s">
        <v>245</v>
      </c>
      <c r="C67" s="190" t="s">
        <v>348</v>
      </c>
      <c r="D67" s="185" t="s">
        <v>0</v>
      </c>
      <c r="E67" s="191">
        <v>1</v>
      </c>
      <c r="F67" s="192">
        <f>EMOP!F67</f>
        <v>9.15</v>
      </c>
      <c r="G67" s="192">
        <f t="shared" si="9"/>
        <v>11.78</v>
      </c>
      <c r="H67" s="188">
        <f t="shared" si="10"/>
        <v>9.15</v>
      </c>
      <c r="I67" s="188">
        <f t="shared" si="11"/>
        <v>11.78</v>
      </c>
      <c r="J67" s="189"/>
      <c r="K67" s="215"/>
    </row>
    <row r="68" spans="1:11" ht="18.75">
      <c r="A68" s="185" t="s">
        <v>250</v>
      </c>
      <c r="B68" s="185" t="s">
        <v>246</v>
      </c>
      <c r="C68" s="190" t="s">
        <v>349</v>
      </c>
      <c r="D68" s="185" t="s">
        <v>0</v>
      </c>
      <c r="E68" s="191">
        <v>7</v>
      </c>
      <c r="F68" s="192">
        <f>EMOP!F68</f>
        <v>30.69</v>
      </c>
      <c r="G68" s="192">
        <f t="shared" si="9"/>
        <v>39.53</v>
      </c>
      <c r="H68" s="188">
        <f t="shared" si="10"/>
        <v>214.83</v>
      </c>
      <c r="I68" s="188">
        <f t="shared" si="11"/>
        <v>276.71</v>
      </c>
      <c r="J68" s="189"/>
      <c r="K68" s="215"/>
    </row>
    <row r="69" spans="1:11" ht="18.75">
      <c r="A69" s="185" t="s">
        <v>253</v>
      </c>
      <c r="B69" s="185" t="s">
        <v>248</v>
      </c>
      <c r="C69" s="190" t="s">
        <v>350</v>
      </c>
      <c r="D69" s="185" t="s">
        <v>0</v>
      </c>
      <c r="E69" s="191">
        <v>1</v>
      </c>
      <c r="F69" s="192">
        <f>EMOP!F69</f>
        <v>47.47</v>
      </c>
      <c r="G69" s="192">
        <f t="shared" si="9"/>
        <v>61.15</v>
      </c>
      <c r="H69" s="188">
        <f t="shared" si="10"/>
        <v>47.47</v>
      </c>
      <c r="I69" s="188">
        <f t="shared" si="11"/>
        <v>61.15</v>
      </c>
      <c r="J69" s="189"/>
      <c r="K69" s="215"/>
    </row>
    <row r="70" spans="1:11" ht="30">
      <c r="A70" s="185" t="s">
        <v>260</v>
      </c>
      <c r="B70" s="185" t="s">
        <v>167</v>
      </c>
      <c r="C70" s="190" t="s">
        <v>351</v>
      </c>
      <c r="D70" s="185" t="s">
        <v>0</v>
      </c>
      <c r="E70" s="191">
        <v>2</v>
      </c>
      <c r="F70" s="192">
        <f>EMOP!F70</f>
        <v>38.19</v>
      </c>
      <c r="G70" s="192">
        <f t="shared" si="9"/>
        <v>49.19</v>
      </c>
      <c r="H70" s="188">
        <f t="shared" si="10"/>
        <v>76.38</v>
      </c>
      <c r="I70" s="188">
        <f t="shared" si="11"/>
        <v>98.38</v>
      </c>
      <c r="J70" s="189"/>
      <c r="K70" s="215"/>
    </row>
    <row r="71" spans="1:11" ht="140.25" customHeight="1">
      <c r="A71" s="185" t="s">
        <v>261</v>
      </c>
      <c r="B71" s="185" t="s">
        <v>1000</v>
      </c>
      <c r="C71" s="190" t="s">
        <v>1003</v>
      </c>
      <c r="D71" s="185" t="s">
        <v>0</v>
      </c>
      <c r="E71" s="191">
        <v>2</v>
      </c>
      <c r="F71" s="192">
        <v>2940.95</v>
      </c>
      <c r="G71" s="192">
        <f t="shared" si="9"/>
        <v>3788.53</v>
      </c>
      <c r="H71" s="188">
        <f t="shared" si="10"/>
        <v>5881.9</v>
      </c>
      <c r="I71" s="188">
        <f t="shared" si="11"/>
        <v>7577.06</v>
      </c>
      <c r="J71" s="189"/>
      <c r="K71" s="215"/>
    </row>
    <row r="72" spans="1:11" ht="90">
      <c r="A72" s="185" t="s">
        <v>262</v>
      </c>
      <c r="B72" s="185" t="s">
        <v>1002</v>
      </c>
      <c r="C72" s="190" t="s">
        <v>1004</v>
      </c>
      <c r="D72" s="185" t="s">
        <v>0</v>
      </c>
      <c r="E72" s="191">
        <v>4</v>
      </c>
      <c r="F72" s="192">
        <v>3341.74</v>
      </c>
      <c r="G72" s="192">
        <f t="shared" si="9"/>
        <v>4304.82</v>
      </c>
      <c r="H72" s="188">
        <f t="shared" si="10"/>
        <v>13366.96</v>
      </c>
      <c r="I72" s="188">
        <f t="shared" si="11"/>
        <v>17219.28</v>
      </c>
      <c r="J72" s="189"/>
      <c r="K72" s="215"/>
    </row>
    <row r="73" spans="1:11" ht="60">
      <c r="A73" s="185" t="s">
        <v>265</v>
      </c>
      <c r="B73" s="185" t="s">
        <v>255</v>
      </c>
      <c r="C73" s="190" t="s">
        <v>352</v>
      </c>
      <c r="D73" s="185" t="s">
        <v>0</v>
      </c>
      <c r="E73" s="191">
        <v>7</v>
      </c>
      <c r="F73" s="192">
        <f>EMOP!F73</f>
        <v>202.27</v>
      </c>
      <c r="G73" s="192">
        <f t="shared" si="9"/>
        <v>260.56</v>
      </c>
      <c r="H73" s="188">
        <f t="shared" si="10"/>
        <v>1415.89</v>
      </c>
      <c r="I73" s="188">
        <f t="shared" si="11"/>
        <v>1823.92</v>
      </c>
      <c r="J73" s="189"/>
      <c r="K73" s="215"/>
    </row>
    <row r="74" spans="1:11" ht="30">
      <c r="A74" s="185" t="s">
        <v>266</v>
      </c>
      <c r="B74" s="185" t="s">
        <v>256</v>
      </c>
      <c r="C74" s="190" t="s">
        <v>353</v>
      </c>
      <c r="D74" s="185" t="s">
        <v>0</v>
      </c>
      <c r="E74" s="191">
        <v>1</v>
      </c>
      <c r="F74" s="192">
        <f>EMOP!F74</f>
        <v>39.05</v>
      </c>
      <c r="G74" s="192">
        <f t="shared" si="9"/>
        <v>50.3</v>
      </c>
      <c r="H74" s="188">
        <f t="shared" si="10"/>
        <v>39.05</v>
      </c>
      <c r="I74" s="188">
        <f t="shared" si="11"/>
        <v>50.3</v>
      </c>
      <c r="J74" s="189"/>
      <c r="K74" s="215"/>
    </row>
    <row r="75" spans="1:11" ht="30">
      <c r="A75" s="185" t="s">
        <v>267</v>
      </c>
      <c r="B75" s="185" t="s">
        <v>258</v>
      </c>
      <c r="C75" s="190" t="s">
        <v>354</v>
      </c>
      <c r="D75" s="185" t="s">
        <v>0</v>
      </c>
      <c r="E75" s="191">
        <v>1</v>
      </c>
      <c r="F75" s="192">
        <f>EMOP!F75</f>
        <v>99.05</v>
      </c>
      <c r="G75" s="192">
        <f t="shared" si="9"/>
        <v>127.59</v>
      </c>
      <c r="H75" s="188">
        <f t="shared" si="10"/>
        <v>99.05</v>
      </c>
      <c r="I75" s="188">
        <f t="shared" si="11"/>
        <v>127.59</v>
      </c>
      <c r="J75" s="189"/>
      <c r="K75" s="215"/>
    </row>
    <row r="76" spans="1:11" ht="18.75">
      <c r="A76" s="185" t="s">
        <v>268</v>
      </c>
      <c r="B76" s="185" t="s">
        <v>306</v>
      </c>
      <c r="C76" s="190" t="s">
        <v>355</v>
      </c>
      <c r="D76" s="185" t="s">
        <v>0</v>
      </c>
      <c r="E76" s="191">
        <v>4</v>
      </c>
      <c r="F76" s="192">
        <f>EMOP!F76</f>
        <v>8.44</v>
      </c>
      <c r="G76" s="192">
        <f t="shared" si="9"/>
        <v>10.87</v>
      </c>
      <c r="H76" s="188">
        <f t="shared" si="10"/>
        <v>33.76</v>
      </c>
      <c r="I76" s="188">
        <f t="shared" si="11"/>
        <v>43.48</v>
      </c>
      <c r="J76" s="189"/>
      <c r="K76" s="215"/>
    </row>
    <row r="77" spans="1:11" ht="18.75">
      <c r="A77" s="185" t="s">
        <v>269</v>
      </c>
      <c r="B77" s="185" t="s">
        <v>308</v>
      </c>
      <c r="C77" s="190" t="s">
        <v>365</v>
      </c>
      <c r="D77" s="185" t="s">
        <v>0</v>
      </c>
      <c r="E77" s="191">
        <v>4</v>
      </c>
      <c r="F77" s="192">
        <f>EMOP!F77</f>
        <v>10.64</v>
      </c>
      <c r="G77" s="192">
        <f t="shared" si="9"/>
        <v>13.7</v>
      </c>
      <c r="H77" s="188">
        <f t="shared" si="10"/>
        <v>42.56</v>
      </c>
      <c r="I77" s="188">
        <f t="shared" si="11"/>
        <v>54.8</v>
      </c>
      <c r="J77" s="189"/>
      <c r="K77" s="215"/>
    </row>
    <row r="78" spans="1:11" ht="18.75">
      <c r="A78" s="183"/>
      <c r="B78" s="183"/>
      <c r="C78" s="184"/>
      <c r="D78" s="183"/>
      <c r="F78" s="193" t="s">
        <v>73</v>
      </c>
      <c r="G78" s="193"/>
      <c r="H78" s="195">
        <f>SUM(H59:H77)</f>
        <v>27377.269999999997</v>
      </c>
      <c r="I78" s="195">
        <f>SUM(I59:I77)</f>
        <v>35260.14000000001</v>
      </c>
      <c r="J78" s="189"/>
      <c r="K78" s="215"/>
    </row>
    <row r="79" spans="1:11" ht="18.75">
      <c r="A79" s="183" t="s">
        <v>178</v>
      </c>
      <c r="B79" s="183"/>
      <c r="C79" s="184" t="s">
        <v>177</v>
      </c>
      <c r="D79" s="185"/>
      <c r="E79" s="186"/>
      <c r="F79" s="192"/>
      <c r="G79" s="192"/>
      <c r="H79" s="188"/>
      <c r="I79" s="188"/>
      <c r="J79" s="189"/>
      <c r="K79" s="215"/>
    </row>
    <row r="80" spans="1:11" ht="18.75">
      <c r="A80" s="185" t="s">
        <v>179</v>
      </c>
      <c r="B80" s="185" t="s">
        <v>225</v>
      </c>
      <c r="C80" s="190" t="s">
        <v>358</v>
      </c>
      <c r="D80" s="185" t="s">
        <v>64</v>
      </c>
      <c r="E80" s="191">
        <v>329.28</v>
      </c>
      <c r="F80" s="192">
        <f>EMOP!F80</f>
        <v>12.51</v>
      </c>
      <c r="G80" s="192">
        <f>TRUNC((F80*1.2882),2)</f>
        <v>16.11</v>
      </c>
      <c r="H80" s="188">
        <f>TRUNC((E80*F80),2)</f>
        <v>4119.29</v>
      </c>
      <c r="I80" s="188">
        <f>TRUNC((E80*G80),2)</f>
        <v>5304.7</v>
      </c>
      <c r="J80" s="189"/>
      <c r="K80" s="215"/>
    </row>
    <row r="81" spans="1:11" ht="18.75">
      <c r="A81" s="185" t="s">
        <v>180</v>
      </c>
      <c r="B81" s="185" t="s">
        <v>226</v>
      </c>
      <c r="C81" s="190" t="s">
        <v>449</v>
      </c>
      <c r="D81" s="185" t="s">
        <v>47</v>
      </c>
      <c r="E81" s="191">
        <v>760.47</v>
      </c>
      <c r="F81" s="192">
        <f>EMOP!F81</f>
        <v>15.18</v>
      </c>
      <c r="G81" s="192">
        <f>TRUNC((F81*1.2882),2)</f>
        <v>19.55</v>
      </c>
      <c r="H81" s="188">
        <f>TRUNC((E81*F81),2)</f>
        <v>11543.93</v>
      </c>
      <c r="I81" s="188">
        <f>TRUNC((E81*G81),2)</f>
        <v>14867.18</v>
      </c>
      <c r="J81" s="189"/>
      <c r="K81" s="215"/>
    </row>
    <row r="82" spans="1:11" ht="45">
      <c r="A82" s="185" t="s">
        <v>439</v>
      </c>
      <c r="B82" s="185" t="s">
        <v>440</v>
      </c>
      <c r="C82" s="190" t="s">
        <v>638</v>
      </c>
      <c r="D82" s="185" t="s">
        <v>47</v>
      </c>
      <c r="E82" s="191">
        <v>194.7</v>
      </c>
      <c r="F82" s="192">
        <f>EMOP!F82</f>
        <v>15.48</v>
      </c>
      <c r="G82" s="192">
        <f>TRUNC((F82*1.2882),2)</f>
        <v>19.94</v>
      </c>
      <c r="H82" s="188">
        <f>TRUNC((E82*F82),2)</f>
        <v>3013.95</v>
      </c>
      <c r="I82" s="188">
        <f>TRUNC((E82*G82),2)</f>
        <v>3882.31</v>
      </c>
      <c r="J82" s="189"/>
      <c r="K82" s="215"/>
    </row>
    <row r="83" spans="1:11" ht="18.75">
      <c r="A83" s="183"/>
      <c r="B83" s="183"/>
      <c r="C83" s="184"/>
      <c r="D83" s="183"/>
      <c r="E83" s="193"/>
      <c r="F83" s="193" t="s">
        <v>181</v>
      </c>
      <c r="G83" s="193"/>
      <c r="H83" s="195">
        <f>SUM(H80:H82)</f>
        <v>18677.170000000002</v>
      </c>
      <c r="I83" s="195">
        <f>SUM(I80:I82)</f>
        <v>24054.190000000002</v>
      </c>
      <c r="J83" s="189"/>
      <c r="K83" s="215"/>
    </row>
    <row r="84" spans="1:11" ht="18.75">
      <c r="A84" s="183" t="s">
        <v>233</v>
      </c>
      <c r="B84" s="183"/>
      <c r="C84" s="184" t="s">
        <v>277</v>
      </c>
      <c r="D84" s="185"/>
      <c r="E84" s="186"/>
      <c r="F84" s="192"/>
      <c r="G84" s="192"/>
      <c r="H84" s="188"/>
      <c r="I84" s="188"/>
      <c r="J84" s="189"/>
      <c r="K84" s="215"/>
    </row>
    <row r="85" spans="1:11" ht="18.75">
      <c r="A85" s="185" t="s">
        <v>234</v>
      </c>
      <c r="B85" s="185" t="s">
        <v>205</v>
      </c>
      <c r="C85" s="190" t="s">
        <v>359</v>
      </c>
      <c r="D85" s="185" t="s">
        <v>47</v>
      </c>
      <c r="E85" s="191">
        <v>134.14</v>
      </c>
      <c r="F85" s="192">
        <f>EMOP!F85</f>
        <v>14.65</v>
      </c>
      <c r="G85" s="192">
        <f>TRUNC((F85*1.2882),2)</f>
        <v>18.87</v>
      </c>
      <c r="H85" s="188">
        <f>TRUNC((E85*F85),2)</f>
        <v>1965.15</v>
      </c>
      <c r="I85" s="188">
        <f>TRUNC((E85*G85),2)</f>
        <v>2531.22</v>
      </c>
      <c r="J85" s="189"/>
      <c r="K85" s="215"/>
    </row>
    <row r="86" spans="1:11" ht="45">
      <c r="A86" s="211" t="s">
        <v>235</v>
      </c>
      <c r="B86" s="211" t="s">
        <v>287</v>
      </c>
      <c r="C86" s="212" t="s">
        <v>1018</v>
      </c>
      <c r="D86" s="211" t="s">
        <v>0</v>
      </c>
      <c r="E86" s="213">
        <v>3</v>
      </c>
      <c r="F86" s="192">
        <f>EMOP!F86</f>
        <v>437.27</v>
      </c>
      <c r="G86" s="192">
        <f>TRUNC((F86*1.2882),2)</f>
        <v>563.29</v>
      </c>
      <c r="H86" s="188">
        <f>TRUNC((E86*F86),2)</f>
        <v>1311.81</v>
      </c>
      <c r="I86" s="188">
        <f>TRUNC((E86*G86),2)</f>
        <v>1689.87</v>
      </c>
      <c r="J86" s="189"/>
      <c r="K86" s="215"/>
    </row>
    <row r="87" spans="1:11" ht="60.75">
      <c r="A87" s="185" t="s">
        <v>460</v>
      </c>
      <c r="B87" s="185" t="s">
        <v>450</v>
      </c>
      <c r="C87" s="190" t="s">
        <v>491</v>
      </c>
      <c r="D87" s="185" t="s">
        <v>42</v>
      </c>
      <c r="E87" s="202">
        <v>0.4</v>
      </c>
      <c r="F87" s="192">
        <f>EMOP!F87</f>
        <v>1446.62</v>
      </c>
      <c r="G87" s="192">
        <f>TRUNC((F87*1.2882),2)</f>
        <v>1863.53</v>
      </c>
      <c r="H87" s="188">
        <f>TRUNC((E87*F87),2)</f>
        <v>578.64</v>
      </c>
      <c r="I87" s="188">
        <f>TRUNC((E87*G87),2)</f>
        <v>745.41</v>
      </c>
      <c r="J87" s="266"/>
      <c r="K87" s="215"/>
    </row>
    <row r="88" spans="1:11" ht="18.75">
      <c r="A88" s="198"/>
      <c r="B88" s="198"/>
      <c r="C88" s="199"/>
      <c r="D88" s="198"/>
      <c r="F88" s="200" t="s">
        <v>236</v>
      </c>
      <c r="G88" s="200"/>
      <c r="H88" s="201">
        <f>SUM(H85:H87)</f>
        <v>3855.6</v>
      </c>
      <c r="I88" s="201">
        <f>SUM(I85:I87)</f>
        <v>4966.5</v>
      </c>
      <c r="J88" s="189"/>
      <c r="K88" s="215"/>
    </row>
    <row r="89" spans="1:11" ht="18.75">
      <c r="A89" s="183" t="s">
        <v>278</v>
      </c>
      <c r="B89" s="183"/>
      <c r="C89" s="184" t="s">
        <v>81</v>
      </c>
      <c r="D89" s="183"/>
      <c r="E89" s="193"/>
      <c r="F89" s="194"/>
      <c r="G89" s="194"/>
      <c r="H89" s="195"/>
      <c r="I89" s="195"/>
      <c r="J89" s="189"/>
      <c r="K89" s="215"/>
    </row>
    <row r="90" spans="1:11" ht="45">
      <c r="A90" s="185" t="s">
        <v>279</v>
      </c>
      <c r="B90" s="185" t="s">
        <v>76</v>
      </c>
      <c r="C90" s="190" t="s">
        <v>83</v>
      </c>
      <c r="D90" s="185" t="s">
        <v>50</v>
      </c>
      <c r="E90" s="191">
        <v>154.82</v>
      </c>
      <c r="F90" s="192">
        <f>EMOP!F90</f>
        <v>0.97</v>
      </c>
      <c r="G90" s="192">
        <f>TRUNC((F90*1.2882),2)</f>
        <v>1.24</v>
      </c>
      <c r="H90" s="188">
        <f>TRUNC((E90*F90),2)</f>
        <v>150.17</v>
      </c>
      <c r="I90" s="188">
        <f>TRUNC((E90*G90),2)</f>
        <v>191.97</v>
      </c>
      <c r="J90" s="189"/>
      <c r="K90" s="215"/>
    </row>
    <row r="91" spans="1:11" ht="45.75">
      <c r="A91" s="185" t="s">
        <v>280</v>
      </c>
      <c r="B91" s="185" t="s">
        <v>74</v>
      </c>
      <c r="C91" s="190" t="s">
        <v>378</v>
      </c>
      <c r="D91" s="185" t="s">
        <v>58</v>
      </c>
      <c r="E91" s="191">
        <v>4334.96</v>
      </c>
      <c r="F91" s="192">
        <f>EMOP!F91</f>
        <v>1.04</v>
      </c>
      <c r="G91" s="192">
        <f>TRUNC((F91*1.2882),2)</f>
        <v>1.33</v>
      </c>
      <c r="H91" s="188">
        <f>TRUNC((E91*F91),2)</f>
        <v>4508.35</v>
      </c>
      <c r="I91" s="188">
        <f>TRUNC((E91*G91),2)</f>
        <v>5765.49</v>
      </c>
      <c r="J91" s="189"/>
      <c r="K91" s="215"/>
    </row>
    <row r="92" spans="1:11" ht="30">
      <c r="A92" s="185" t="s">
        <v>281</v>
      </c>
      <c r="B92" s="185" t="s">
        <v>75</v>
      </c>
      <c r="C92" s="190" t="s">
        <v>84</v>
      </c>
      <c r="D92" s="185" t="s">
        <v>42</v>
      </c>
      <c r="E92" s="191">
        <v>83.83</v>
      </c>
      <c r="F92" s="192">
        <f>EMOP!F92</f>
        <v>54</v>
      </c>
      <c r="G92" s="192">
        <f>TRUNC((F92*1.12),2)</f>
        <v>60.48</v>
      </c>
      <c r="H92" s="188">
        <f>TRUNC((E92*F92),2)</f>
        <v>4526.82</v>
      </c>
      <c r="I92" s="188">
        <f>TRUNC((E92*G92),2)</f>
        <v>5070.03</v>
      </c>
      <c r="J92" s="189"/>
      <c r="K92" s="215"/>
    </row>
    <row r="93" spans="1:11" ht="45">
      <c r="A93" s="185" t="s">
        <v>295</v>
      </c>
      <c r="B93" s="185" t="s">
        <v>297</v>
      </c>
      <c r="C93" s="190" t="s">
        <v>361</v>
      </c>
      <c r="D93" s="185" t="s">
        <v>50</v>
      </c>
      <c r="E93" s="191">
        <v>45</v>
      </c>
      <c r="F93" s="192">
        <f>EMOP!F93</f>
        <v>67.81</v>
      </c>
      <c r="G93" s="192">
        <f>TRUNC((F93*1.2882),2)</f>
        <v>87.35</v>
      </c>
      <c r="H93" s="188">
        <f>TRUNC((E93*F93),2)</f>
        <v>3051.45</v>
      </c>
      <c r="I93" s="188">
        <f>TRUNC((E93*G93),2)</f>
        <v>3930.75</v>
      </c>
      <c r="J93" s="189"/>
      <c r="K93" s="215"/>
    </row>
    <row r="94" spans="1:11" ht="45.75">
      <c r="A94" s="185" t="s">
        <v>296</v>
      </c>
      <c r="B94" s="185" t="s">
        <v>298</v>
      </c>
      <c r="C94" s="190" t="s">
        <v>949</v>
      </c>
      <c r="D94" s="185" t="s">
        <v>58</v>
      </c>
      <c r="E94" s="191">
        <v>1102.5</v>
      </c>
      <c r="F94" s="192">
        <f>EMOP!F94</f>
        <v>1.03</v>
      </c>
      <c r="G94" s="192">
        <f>TRUNC((F94*1.2882),2)</f>
        <v>1.32</v>
      </c>
      <c r="H94" s="188">
        <f>TRUNC((E94*F94),2)</f>
        <v>1135.57</v>
      </c>
      <c r="I94" s="188">
        <f>TRUNC((E94*G94),2)</f>
        <v>1455.3</v>
      </c>
      <c r="J94" s="189"/>
      <c r="K94" s="215"/>
    </row>
    <row r="95" spans="1:10" ht="18.75">
      <c r="A95" s="183"/>
      <c r="B95" s="183"/>
      <c r="C95" s="184"/>
      <c r="D95" s="183"/>
      <c r="F95" s="193" t="s">
        <v>282</v>
      </c>
      <c r="G95" s="193"/>
      <c r="H95" s="195">
        <f>SUM(H90:H94)</f>
        <v>13372.36</v>
      </c>
      <c r="I95" s="195">
        <f>SUM(I90:I94)</f>
        <v>16413.54</v>
      </c>
      <c r="J95" s="189"/>
    </row>
    <row r="96" spans="1:10" ht="31.5">
      <c r="A96" s="183"/>
      <c r="B96" s="183"/>
      <c r="C96" s="216" t="s">
        <v>488</v>
      </c>
      <c r="D96" s="540" t="s">
        <v>708</v>
      </c>
      <c r="E96" s="541"/>
      <c r="F96" s="542"/>
      <c r="G96" s="233"/>
      <c r="H96" s="195">
        <f>H28+H37+H57+H78+H83+H88+H95</f>
        <v>299214.01999999996</v>
      </c>
      <c r="I96" s="195">
        <f>I28+I37+I57+I78+I83+I88+I95</f>
        <v>384604.93</v>
      </c>
      <c r="J96" s="189"/>
    </row>
  </sheetData>
  <sheetProtection/>
  <mergeCells count="14">
    <mergeCell ref="D4:G4"/>
    <mergeCell ref="D96:F96"/>
    <mergeCell ref="D3:H3"/>
    <mergeCell ref="D5:H5"/>
    <mergeCell ref="D6:H6"/>
    <mergeCell ref="D7:H7"/>
    <mergeCell ref="A9:H9"/>
    <mergeCell ref="A10:A11"/>
    <mergeCell ref="B10:B11"/>
    <mergeCell ref="D8:H8"/>
    <mergeCell ref="C10:C11"/>
    <mergeCell ref="D10:D11"/>
    <mergeCell ref="E10:E11"/>
    <mergeCell ref="F10:I10"/>
  </mergeCells>
  <printOptions horizontalCentered="1"/>
  <pageMargins left="0.984251968503937" right="0" top="0.7480314960629921" bottom="0.7480314960629921" header="0.31496062992125984" footer="0.31496062992125984"/>
  <pageSetup horizontalDpi="300" verticalDpi="300" orientation="landscape" paperSize="9" scale="50" r:id="rId2"/>
  <headerFooter>
    <oddFooter>&amp;C&amp;14&amp;F&amp;R&amp;14Página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A1:N26"/>
  <sheetViews>
    <sheetView showZeros="0" view="pageBreakPreview" zoomScale="60" zoomScaleNormal="70" zoomScalePageLayoutView="0" workbookViewId="0" topLeftCell="A7">
      <selection activeCell="G16" sqref="G16"/>
    </sheetView>
  </sheetViews>
  <sheetFormatPr defaultColWidth="8.8515625" defaultRowHeight="15"/>
  <cols>
    <col min="1" max="1" width="7.57421875" style="4" customWidth="1"/>
    <col min="2" max="2" width="42.57421875" style="4" customWidth="1"/>
    <col min="3" max="3" width="14.140625" style="4" customWidth="1"/>
    <col min="4" max="8" width="24.00390625" style="4" customWidth="1"/>
    <col min="9" max="9" width="18.57421875" style="4" customWidth="1"/>
    <col min="10" max="10" width="27.421875" style="4" customWidth="1"/>
    <col min="11" max="11" width="33.140625" style="4" customWidth="1"/>
    <col min="12" max="12" width="17.8515625" style="1" bestFit="1" customWidth="1"/>
    <col min="13" max="13" width="13.7109375" style="1" customWidth="1"/>
    <col min="14" max="16384" width="8.8515625" style="1" customWidth="1"/>
  </cols>
  <sheetData>
    <row r="1" spans="1:12" ht="23.25" customHeight="1">
      <c r="A1" s="559" t="s">
        <v>38</v>
      </c>
      <c r="B1" s="560"/>
      <c r="C1" s="560"/>
      <c r="D1" s="560"/>
      <c r="E1" s="560"/>
      <c r="F1" s="560"/>
      <c r="G1" s="560"/>
      <c r="H1" s="560"/>
      <c r="I1" s="560"/>
      <c r="J1" s="560"/>
      <c r="K1" s="140"/>
      <c r="L1" s="139"/>
    </row>
    <row r="2" spans="1:12" ht="23.25" customHeight="1">
      <c r="A2" s="561" t="s">
        <v>39</v>
      </c>
      <c r="B2" s="562"/>
      <c r="C2" s="562"/>
      <c r="D2" s="562"/>
      <c r="E2" s="562"/>
      <c r="F2" s="562"/>
      <c r="G2" s="562"/>
      <c r="H2" s="562"/>
      <c r="I2" s="562"/>
      <c r="J2" s="562"/>
      <c r="K2" s="141"/>
      <c r="L2" s="139"/>
    </row>
    <row r="3" spans="1:12" ht="23.25" customHeight="1">
      <c r="A3" s="561" t="s">
        <v>82</v>
      </c>
      <c r="B3" s="562"/>
      <c r="C3" s="562"/>
      <c r="D3" s="562"/>
      <c r="E3" s="562"/>
      <c r="F3" s="562"/>
      <c r="G3" s="562"/>
      <c r="H3" s="562"/>
      <c r="I3" s="562"/>
      <c r="J3" s="562"/>
      <c r="K3" s="141"/>
      <c r="L3" s="139"/>
    </row>
    <row r="4" spans="1:12" ht="23.25" customHeight="1">
      <c r="A4" s="572" t="s">
        <v>857</v>
      </c>
      <c r="B4" s="573"/>
      <c r="C4" s="573"/>
      <c r="D4" s="573"/>
      <c r="E4" s="573"/>
      <c r="F4" s="573"/>
      <c r="G4" s="573"/>
      <c r="H4" s="573"/>
      <c r="I4" s="573"/>
      <c r="J4" s="573"/>
      <c r="K4" s="141"/>
      <c r="L4" s="139"/>
    </row>
    <row r="5" spans="1:12" ht="18">
      <c r="A5" s="563" t="s">
        <v>191</v>
      </c>
      <c r="B5" s="564"/>
      <c r="C5" s="564"/>
      <c r="D5" s="564"/>
      <c r="E5" s="564"/>
      <c r="F5" s="564"/>
      <c r="G5" s="564"/>
      <c r="H5" s="564"/>
      <c r="I5" s="564"/>
      <c r="J5" s="564"/>
      <c r="K5" s="141"/>
      <c r="L5" s="139"/>
    </row>
    <row r="6" spans="1:12" ht="23.25" customHeight="1">
      <c r="A6" s="565" t="s">
        <v>41</v>
      </c>
      <c r="B6" s="566"/>
      <c r="C6" s="566"/>
      <c r="D6" s="566"/>
      <c r="E6" s="566"/>
      <c r="F6" s="566"/>
      <c r="G6" s="566"/>
      <c r="H6" s="566"/>
      <c r="I6" s="566"/>
      <c r="J6" s="566"/>
      <c r="K6" s="141"/>
      <c r="L6" s="139"/>
    </row>
    <row r="7" spans="1:12" ht="35.25" customHeight="1">
      <c r="A7" s="580" t="s">
        <v>742</v>
      </c>
      <c r="B7" s="581"/>
      <c r="C7" s="581"/>
      <c r="D7" s="581"/>
      <c r="E7" s="581"/>
      <c r="F7" s="581"/>
      <c r="G7" s="581"/>
      <c r="H7" s="581"/>
      <c r="I7" s="581"/>
      <c r="J7" s="581"/>
      <c r="K7" s="141"/>
      <c r="L7" s="139"/>
    </row>
    <row r="8" spans="1:12" ht="31.5" customHeight="1">
      <c r="A8" s="568" t="s">
        <v>606</v>
      </c>
      <c r="B8" s="569"/>
      <c r="C8" s="569"/>
      <c r="D8" s="569"/>
      <c r="E8" s="569"/>
      <c r="F8" s="569"/>
      <c r="G8" s="569"/>
      <c r="H8" s="569"/>
      <c r="I8" s="569"/>
      <c r="J8" s="569"/>
      <c r="K8" s="142"/>
      <c r="L8" s="139"/>
    </row>
    <row r="9" spans="1:12" ht="18" customHeight="1">
      <c r="A9" s="567" t="s">
        <v>88</v>
      </c>
      <c r="B9" s="567"/>
      <c r="C9" s="567"/>
      <c r="D9" s="567"/>
      <c r="E9" s="567"/>
      <c r="F9" s="567"/>
      <c r="G9" s="567"/>
      <c r="H9" s="567"/>
      <c r="I9" s="567"/>
      <c r="J9" s="567"/>
      <c r="K9" s="5"/>
      <c r="L9" s="139"/>
    </row>
    <row r="10" spans="1:14" ht="27" customHeight="1">
      <c r="A10" s="576" t="s">
        <v>1</v>
      </c>
      <c r="B10" s="576" t="s">
        <v>8</v>
      </c>
      <c r="C10" s="574" t="s">
        <v>9</v>
      </c>
      <c r="D10" s="575"/>
      <c r="E10" s="575"/>
      <c r="F10" s="575"/>
      <c r="G10" s="575"/>
      <c r="H10" s="575"/>
      <c r="I10" s="575"/>
      <c r="J10" s="575"/>
      <c r="K10" s="143"/>
      <c r="L10" s="139"/>
      <c r="M10" s="2"/>
      <c r="N10" s="2"/>
    </row>
    <row r="11" spans="1:14" ht="27" customHeight="1">
      <c r="A11" s="577"/>
      <c r="B11" s="577"/>
      <c r="C11" s="574" t="s">
        <v>10</v>
      </c>
      <c r="D11" s="586"/>
      <c r="E11" s="574" t="s">
        <v>11</v>
      </c>
      <c r="F11" s="586"/>
      <c r="G11" s="574" t="s">
        <v>285</v>
      </c>
      <c r="H11" s="586"/>
      <c r="I11" s="574" t="s">
        <v>286</v>
      </c>
      <c r="J11" s="586"/>
      <c r="K11" s="143" t="s">
        <v>12</v>
      </c>
      <c r="L11" s="139"/>
      <c r="M11" s="2"/>
      <c r="N11" s="2"/>
    </row>
    <row r="12" spans="1:12" ht="27" customHeight="1">
      <c r="A12" s="578"/>
      <c r="B12" s="578"/>
      <c r="C12" s="144" t="s">
        <v>13</v>
      </c>
      <c r="D12" s="145" t="s">
        <v>14</v>
      </c>
      <c r="E12" s="144" t="s">
        <v>13</v>
      </c>
      <c r="F12" s="145" t="s">
        <v>14</v>
      </c>
      <c r="G12" s="144" t="s">
        <v>13</v>
      </c>
      <c r="H12" s="145" t="s">
        <v>14</v>
      </c>
      <c r="I12" s="144" t="s">
        <v>13</v>
      </c>
      <c r="J12" s="145" t="s">
        <v>14</v>
      </c>
      <c r="K12" s="143" t="s">
        <v>15</v>
      </c>
      <c r="L12" s="139"/>
    </row>
    <row r="13" spans="1:12" ht="27" customHeight="1">
      <c r="A13" s="579"/>
      <c r="B13" s="579"/>
      <c r="C13" s="146"/>
      <c r="D13" s="146"/>
      <c r="E13" s="146"/>
      <c r="F13" s="146"/>
      <c r="G13" s="146"/>
      <c r="H13" s="146"/>
      <c r="I13" s="146"/>
      <c r="J13" s="146"/>
      <c r="K13" s="147"/>
      <c r="L13" s="139"/>
    </row>
    <row r="14" spans="1:13" ht="27" customHeight="1">
      <c r="A14" s="6" t="s">
        <v>16</v>
      </c>
      <c r="B14" s="7" t="s">
        <v>59</v>
      </c>
      <c r="C14" s="8">
        <f>45644.45/K14</f>
        <v>0.7996492327777268</v>
      </c>
      <c r="D14" s="9">
        <f>C14*K14</f>
        <v>45644.45</v>
      </c>
      <c r="E14" s="205">
        <f>1-C14</f>
        <v>0.20035076722227319</v>
      </c>
      <c r="F14" s="9">
        <f>E14*K14</f>
        <v>11436.140000000018</v>
      </c>
      <c r="G14" s="206"/>
      <c r="H14" s="207">
        <f>G14*K14</f>
        <v>0</v>
      </c>
      <c r="I14" s="208"/>
      <c r="J14" s="207">
        <f aca="true" t="shared" si="0" ref="J14:J21">I14*K14</f>
        <v>0</v>
      </c>
      <c r="K14" s="10">
        <f>'SMPU COM BDI'!I28</f>
        <v>57080.59000000001</v>
      </c>
      <c r="L14" s="138">
        <f>D14+F14+H14+J14</f>
        <v>57080.59000000001</v>
      </c>
      <c r="M14" s="3">
        <f>K14-L14</f>
        <v>0</v>
      </c>
    </row>
    <row r="15" spans="1:13" ht="27" customHeight="1">
      <c r="A15" s="6" t="s">
        <v>27</v>
      </c>
      <c r="B15" s="7" t="s">
        <v>211</v>
      </c>
      <c r="C15" s="208"/>
      <c r="D15" s="207"/>
      <c r="E15" s="205">
        <f>1/3</f>
        <v>0.3333333333333333</v>
      </c>
      <c r="F15" s="9">
        <f aca="true" t="shared" si="1" ref="F15:F21">E15*K15</f>
        <v>15907.013333333332</v>
      </c>
      <c r="G15" s="205">
        <f>1/3</f>
        <v>0.3333333333333333</v>
      </c>
      <c r="H15" s="9">
        <f aca="true" t="shared" si="2" ref="H15:H21">G15*K15</f>
        <v>15907.013333333332</v>
      </c>
      <c r="I15" s="8">
        <f>1/3</f>
        <v>0.3333333333333333</v>
      </c>
      <c r="J15" s="9">
        <f t="shared" si="0"/>
        <v>15907.013333333332</v>
      </c>
      <c r="K15" s="10">
        <f>'SMPU COM BDI'!I37</f>
        <v>47721.04</v>
      </c>
      <c r="L15" s="138">
        <f aca="true" t="shared" si="3" ref="L15:L20">D15+F15+H15+J15</f>
        <v>47721.03999999999</v>
      </c>
      <c r="M15" s="3">
        <f aca="true" t="shared" si="4" ref="M15:M20">K15-L15</f>
        <v>0</v>
      </c>
    </row>
    <row r="16" spans="1:13" ht="27" customHeight="1">
      <c r="A16" s="6" t="s">
        <v>60</v>
      </c>
      <c r="B16" s="7" t="s">
        <v>212</v>
      </c>
      <c r="C16" s="8">
        <f>9437.23/K16</f>
        <v>0.047397321657044716</v>
      </c>
      <c r="D16" s="9">
        <f>C16*K16</f>
        <v>9437.23</v>
      </c>
      <c r="E16" s="205">
        <f>40145.47/K16</f>
        <v>0.201625662897189</v>
      </c>
      <c r="F16" s="9">
        <f t="shared" si="1"/>
        <v>40145.47</v>
      </c>
      <c r="G16" s="205">
        <f>79490.64/K16</f>
        <v>0.39923191792552953</v>
      </c>
      <c r="H16" s="9">
        <f t="shared" si="2"/>
        <v>79490.64</v>
      </c>
      <c r="I16" s="8">
        <f>1-C16-E16-G16</f>
        <v>0.3517450975202368</v>
      </c>
      <c r="J16" s="9">
        <f t="shared" si="0"/>
        <v>70035.59</v>
      </c>
      <c r="K16" s="10">
        <f>'SMPU COM BDI'!I57</f>
        <v>199108.93</v>
      </c>
      <c r="L16" s="138">
        <f t="shared" si="3"/>
        <v>199108.93</v>
      </c>
      <c r="M16" s="3">
        <f t="shared" si="4"/>
        <v>0</v>
      </c>
    </row>
    <row r="17" spans="1:13" ht="27" customHeight="1">
      <c r="A17" s="6" t="s">
        <v>68</v>
      </c>
      <c r="B17" s="7" t="s">
        <v>144</v>
      </c>
      <c r="C17" s="8">
        <f>31096.74/K17</f>
        <v>0.8819233275874684</v>
      </c>
      <c r="D17" s="9">
        <f>C17*K17</f>
        <v>31096.740000000005</v>
      </c>
      <c r="E17" s="205">
        <f>3617.1/K17</f>
        <v>0.10258325690141898</v>
      </c>
      <c r="F17" s="9">
        <f t="shared" si="1"/>
        <v>3617.1</v>
      </c>
      <c r="G17" s="206"/>
      <c r="H17" s="207">
        <f t="shared" si="2"/>
        <v>0</v>
      </c>
      <c r="I17" s="8">
        <f>1-C17-E17</f>
        <v>0.015493415511112635</v>
      </c>
      <c r="J17" s="9">
        <f t="shared" si="0"/>
        <v>546.3000000000031</v>
      </c>
      <c r="K17" s="10">
        <f>'SMPU COM BDI'!I78</f>
        <v>35260.14000000001</v>
      </c>
      <c r="L17" s="138">
        <f t="shared" si="3"/>
        <v>35260.14000000001</v>
      </c>
      <c r="M17" s="3">
        <f t="shared" si="4"/>
        <v>0</v>
      </c>
    </row>
    <row r="18" spans="1:13" ht="27" customHeight="1">
      <c r="A18" s="6" t="s">
        <v>178</v>
      </c>
      <c r="B18" s="7" t="s">
        <v>177</v>
      </c>
      <c r="C18" s="208"/>
      <c r="D18" s="207">
        <f>C18*K18</f>
        <v>0</v>
      </c>
      <c r="E18" s="206"/>
      <c r="F18" s="207">
        <f t="shared" si="1"/>
        <v>0</v>
      </c>
      <c r="G18" s="205">
        <f>1941.16/K18</f>
        <v>0.08069945402443399</v>
      </c>
      <c r="H18" s="9">
        <f t="shared" si="2"/>
        <v>1941.1599999999999</v>
      </c>
      <c r="I18" s="8">
        <f>1-G18</f>
        <v>0.919300545975566</v>
      </c>
      <c r="J18" s="9">
        <f t="shared" si="0"/>
        <v>22113.030000000002</v>
      </c>
      <c r="K18" s="10">
        <f>'SMPU COM BDI'!I83</f>
        <v>24054.190000000002</v>
      </c>
      <c r="L18" s="138">
        <f t="shared" si="3"/>
        <v>24054.190000000002</v>
      </c>
      <c r="M18" s="3">
        <f t="shared" si="4"/>
        <v>0</v>
      </c>
    </row>
    <row r="19" spans="1:13" ht="27" customHeight="1">
      <c r="A19" s="6" t="s">
        <v>233</v>
      </c>
      <c r="B19" s="7" t="s">
        <v>277</v>
      </c>
      <c r="C19" s="208"/>
      <c r="D19" s="207">
        <f>C19*K19</f>
        <v>0</v>
      </c>
      <c r="E19" s="205">
        <f>2434.09/K19</f>
        <v>0.490101681264472</v>
      </c>
      <c r="F19" s="9">
        <f>E19*K19</f>
        <v>2434.09</v>
      </c>
      <c r="G19" s="205">
        <f>1688.68/K19</f>
        <v>0.3400140944326991</v>
      </c>
      <c r="H19" s="9">
        <f t="shared" si="2"/>
        <v>1688.68</v>
      </c>
      <c r="I19" s="8">
        <f>1-E19-G19</f>
        <v>0.16988422430282885</v>
      </c>
      <c r="J19" s="9">
        <f t="shared" si="0"/>
        <v>843.7299999999994</v>
      </c>
      <c r="K19" s="10">
        <f>'SMPU COM BDI'!I88</f>
        <v>4966.5</v>
      </c>
      <c r="L19" s="138">
        <f t="shared" si="3"/>
        <v>4966.5</v>
      </c>
      <c r="M19" s="3">
        <f t="shared" si="4"/>
        <v>0</v>
      </c>
    </row>
    <row r="20" spans="1:13" ht="27" customHeight="1">
      <c r="A20" s="6" t="s">
        <v>278</v>
      </c>
      <c r="B20" s="7" t="s">
        <v>81</v>
      </c>
      <c r="C20" s="8">
        <v>0.25</v>
      </c>
      <c r="D20" s="9">
        <f>C20*K20</f>
        <v>4103.385</v>
      </c>
      <c r="E20" s="205">
        <v>0.25</v>
      </c>
      <c r="F20" s="9">
        <f t="shared" si="1"/>
        <v>4103.385</v>
      </c>
      <c r="G20" s="205">
        <v>0.25</v>
      </c>
      <c r="H20" s="9">
        <f t="shared" si="2"/>
        <v>4103.385</v>
      </c>
      <c r="I20" s="8">
        <v>0.25</v>
      </c>
      <c r="J20" s="9">
        <f t="shared" si="0"/>
        <v>4103.385</v>
      </c>
      <c r="K20" s="10">
        <f>'SMPU COM BDI'!I95</f>
        <v>16413.54</v>
      </c>
      <c r="L20" s="138">
        <f t="shared" si="3"/>
        <v>16413.54</v>
      </c>
      <c r="M20" s="3">
        <f t="shared" si="4"/>
        <v>0</v>
      </c>
    </row>
    <row r="21" spans="1:12" ht="27" customHeight="1">
      <c r="A21" s="11"/>
      <c r="B21" s="12"/>
      <c r="C21" s="15"/>
      <c r="D21" s="13"/>
      <c r="E21" s="13"/>
      <c r="F21" s="9">
        <f t="shared" si="1"/>
        <v>0</v>
      </c>
      <c r="G21" s="13"/>
      <c r="H21" s="9">
        <f t="shared" si="2"/>
        <v>0</v>
      </c>
      <c r="I21" s="13"/>
      <c r="J21" s="9">
        <f t="shared" si="0"/>
        <v>0</v>
      </c>
      <c r="K21" s="14">
        <f>SUM(K14:K20)</f>
        <v>384604.93</v>
      </c>
      <c r="L21" s="138"/>
    </row>
    <row r="22" spans="1:12" ht="27" customHeight="1">
      <c r="A22" s="582" t="s">
        <v>17</v>
      </c>
      <c r="B22" s="583"/>
      <c r="C22" s="584">
        <f>SUM(D14:D20)</f>
        <v>90281.805</v>
      </c>
      <c r="D22" s="585"/>
      <c r="E22" s="584">
        <f>SUM(F14:F20)</f>
        <v>77643.19833333335</v>
      </c>
      <c r="F22" s="585"/>
      <c r="G22" s="584">
        <f>SUM(H14:H20)</f>
        <v>103130.87833333333</v>
      </c>
      <c r="H22" s="585"/>
      <c r="I22" s="584">
        <f>SUM(J14:J20)</f>
        <v>113549.04833333332</v>
      </c>
      <c r="J22" s="585"/>
      <c r="K22" s="148"/>
      <c r="L22" s="139"/>
    </row>
    <row r="23" spans="1:12" ht="27" customHeight="1">
      <c r="A23" s="582" t="s">
        <v>18</v>
      </c>
      <c r="B23" s="583"/>
      <c r="C23" s="570">
        <f>C22</f>
        <v>90281.805</v>
      </c>
      <c r="D23" s="571"/>
      <c r="E23" s="570">
        <f>C23+E22</f>
        <v>167925.00333333336</v>
      </c>
      <c r="F23" s="571"/>
      <c r="G23" s="570">
        <f>E23+G22</f>
        <v>271055.8816666667</v>
      </c>
      <c r="H23" s="571"/>
      <c r="I23" s="570">
        <f>G23+I22</f>
        <v>384604.93000000005</v>
      </c>
      <c r="J23" s="571"/>
      <c r="K23" s="149"/>
      <c r="L23" s="139"/>
    </row>
    <row r="24" spans="1:12" ht="27" customHeight="1">
      <c r="A24" s="587" t="s">
        <v>19</v>
      </c>
      <c r="B24" s="588"/>
      <c r="C24" s="555">
        <f>C22/K21</f>
        <v>0.2347390736775007</v>
      </c>
      <c r="D24" s="556"/>
      <c r="E24" s="555">
        <f>E22/K21</f>
        <v>0.20187780310911083</v>
      </c>
      <c r="F24" s="556"/>
      <c r="G24" s="555">
        <f>G22/K21</f>
        <v>0.2681475724539811</v>
      </c>
      <c r="H24" s="556"/>
      <c r="I24" s="555">
        <f>I22/K21</f>
        <v>0.2952355507594074</v>
      </c>
      <c r="J24" s="556"/>
      <c r="K24" s="150"/>
      <c r="L24" s="139"/>
    </row>
    <row r="25" spans="1:12" ht="27" customHeight="1">
      <c r="A25" s="587" t="s">
        <v>20</v>
      </c>
      <c r="B25" s="588"/>
      <c r="C25" s="555">
        <f>C24</f>
        <v>0.2347390736775007</v>
      </c>
      <c r="D25" s="556"/>
      <c r="E25" s="555">
        <f>C25+E24</f>
        <v>0.43661687678661154</v>
      </c>
      <c r="F25" s="556"/>
      <c r="G25" s="555">
        <f>E25+G24</f>
        <v>0.7047644492405927</v>
      </c>
      <c r="H25" s="556"/>
      <c r="I25" s="555">
        <f>G25+I24</f>
        <v>1</v>
      </c>
      <c r="J25" s="556"/>
      <c r="K25" s="151"/>
      <c r="L25" s="139"/>
    </row>
    <row r="26" spans="1:11" ht="33" customHeight="1">
      <c r="A26" s="557" t="s">
        <v>493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</row>
    <row r="27" ht="33" customHeight="1"/>
  </sheetData>
  <sheetProtection/>
  <mergeCells count="38">
    <mergeCell ref="A24:B24"/>
    <mergeCell ref="E25:F25"/>
    <mergeCell ref="G25:H25"/>
    <mergeCell ref="G11:H11"/>
    <mergeCell ref="E22:F22"/>
    <mergeCell ref="G22:H22"/>
    <mergeCell ref="E23:F23"/>
    <mergeCell ref="G23:H23"/>
    <mergeCell ref="E11:F11"/>
    <mergeCell ref="A23:B23"/>
    <mergeCell ref="I25:J25"/>
    <mergeCell ref="A22:B22"/>
    <mergeCell ref="C22:D22"/>
    <mergeCell ref="A10:A12"/>
    <mergeCell ref="C11:D11"/>
    <mergeCell ref="I11:J11"/>
    <mergeCell ref="I22:J22"/>
    <mergeCell ref="G24:H24"/>
    <mergeCell ref="C25:D25"/>
    <mergeCell ref="A25:B25"/>
    <mergeCell ref="A8:J8"/>
    <mergeCell ref="C23:D23"/>
    <mergeCell ref="A4:J4"/>
    <mergeCell ref="C10:J10"/>
    <mergeCell ref="B10:B12"/>
    <mergeCell ref="A13:B13"/>
    <mergeCell ref="I23:J23"/>
    <mergeCell ref="A7:J7"/>
    <mergeCell ref="C24:D24"/>
    <mergeCell ref="E24:F24"/>
    <mergeCell ref="I24:J24"/>
    <mergeCell ref="A26:K26"/>
    <mergeCell ref="A1:J1"/>
    <mergeCell ref="A2:J2"/>
    <mergeCell ref="A3:J3"/>
    <mergeCell ref="A5:J5"/>
    <mergeCell ref="A6:J6"/>
    <mergeCell ref="A9:J9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52" r:id="rId2"/>
  <headerFooter alignWithMargins="0"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Michelly Gomes</dc:creator>
  <cp:keywords/>
  <dc:description/>
  <cp:lastModifiedBy>Thais da Silva Miranda</cp:lastModifiedBy>
  <cp:lastPrinted>2019-05-17T12:16:51Z</cp:lastPrinted>
  <dcterms:created xsi:type="dcterms:W3CDTF">2013-12-10T14:14:06Z</dcterms:created>
  <dcterms:modified xsi:type="dcterms:W3CDTF">2019-12-09T13:34:53Z</dcterms:modified>
  <cp:category/>
  <cp:version/>
  <cp:contentType/>
  <cp:contentStatus/>
</cp:coreProperties>
</file>